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ario" sheetId="1" state="visible" r:id="rId1"/>
    <sheet xmlns:r="http://schemas.openxmlformats.org/officeDocument/2006/relationships" name="Parámetros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0&quot; €&quot;"/>
    <numFmt numFmtId="165" formatCode="0.0"/>
    <numFmt numFmtId="166" formatCode="0.0%"/>
    <numFmt numFmtId="167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color rgb="00C8102E"/>
      <sz val="12"/>
    </font>
    <font>
      <b val="1"/>
    </font>
    <font>
      <b val="1"/>
      <color rgb="000F172A"/>
      <sz val="14"/>
    </font>
    <font>
      <b val="1"/>
      <color rgb="00C8102E"/>
      <sz val="14"/>
    </font>
    <font>
      <b val="1"/>
      <color rgb="0016A34A"/>
      <sz val="14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16A34A"/>
      </patternFill>
    </fill>
  </fills>
  <borders count="10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4" borderId="1" pivotButton="0" quotePrefix="0" xfId="0"/>
    <xf numFmtId="0" fontId="0" fillId="4" borderId="1" pivotButton="0" quotePrefix="0" xfId="0"/>
    <xf numFmtId="165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2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164" fontId="0" fillId="0" borderId="1" pivotButton="0" quotePrefix="0" xfId="0"/>
    <xf numFmtId="167" fontId="0" fillId="4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2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0" fontId="3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4" fillId="0" borderId="1" pivotButton="0" quotePrefix="0" xfId="0"/>
    <xf numFmtId="1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/>
    </xf>
    <xf numFmtId="1" fontId="5" fillId="5" borderId="1" applyAlignment="1" pivotButton="0" quotePrefix="0" xfId="0">
      <alignment horizontal="center" vertical="center"/>
    </xf>
    <xf numFmtId="1" fontId="6" fillId="5" borderId="1" applyAlignment="1" pivotButton="0" quotePrefix="0" xfId="0">
      <alignment horizontal="center" vertical="center"/>
    </xf>
    <xf numFmtId="164" fontId="5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166" fontId="7" fillId="5" borderId="1" applyAlignment="1" pivotButton="0" quotePrefix="0" xfId="0">
      <alignment horizontal="center" vertical="center"/>
    </xf>
    <xf numFmtId="0" fontId="2" fillId="3" borderId="1" pivotButton="0" quotePrefix="0" xfId="0"/>
    <xf numFmtId="0" fontId="4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/>
    </xf>
    <xf numFmtId="167" fontId="0" fillId="4" borderId="1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B45309"/>
      </font>
      <fill>
        <patternFill patternType="solid">
          <fgColor rgb="00FEF9C3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Stock actual vs Punto de pedido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'Inventario'!G2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'Inventario'!$B$3:$B$11</f>
            </numRef>
          </cat>
          <val>
            <numRef>
              <f>'Inventario'!$G$3:$G$11</f>
            </numRef>
          </val>
        </ser>
        <ser>
          <idx val="1"/>
          <order val="1"/>
          <tx>
            <strRef>
              <f>'Inventario'!N2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'Inventario'!$B$3:$B$11</f>
            </numRef>
          </cat>
          <val>
            <numRef>
              <f>'Inventario'!$N$3:$N$11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Producto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Referencias por estado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'Resumen'!$A$11:$A$13</f>
            </numRef>
          </cat>
          <val>
            <numRef>
              <f>'Resumen'!$B$11:$B$13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del stock por categoría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'Resumen'!$D$11:$D$17</f>
            </numRef>
          </cat>
          <val>
            <numRef>
              <f>'Resumen'!$E$11:$E$17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79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19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13" customWidth="1" min="3" max="3"/>
    <col width="24" customWidth="1" min="4" max="4"/>
    <col width="14" customWidth="1" min="5" max="5"/>
    <col width="14" customWidth="1" min="6" max="6"/>
    <col width="11" customWidth="1" min="7" max="7"/>
    <col width="13" customWidth="1" min="8" max="8"/>
    <col width="14" customWidth="1" min="9" max="9"/>
    <col width="12" customWidth="1" min="10" max="10"/>
    <col width="12" customWidth="1" min="11" max="11"/>
    <col width="11" customWidth="1" min="12" max="12"/>
    <col width="12" customWidth="1" min="13" max="13"/>
    <col width="12" customWidth="1" min="14" max="14"/>
    <col width="12" customWidth="1" min="15" max="15"/>
    <col width="14" customWidth="1" min="16" max="16"/>
    <col width="11" customWidth="1" min="17" max="17"/>
    <col width="13" customWidth="1" min="18" max="18"/>
    <col width="12" customWidth="1" min="19" max="19"/>
  </cols>
  <sheetData>
    <row r="1" ht="30" customHeight="1">
      <c r="A1" s="1" t="inlineStr">
        <is>
          <t>CÁLCULO DEL STOCK DE SEGURIDAD — INVENTARIO 2026</t>
        </is>
      </c>
    </row>
    <row r="2" ht="34" customHeight="1">
      <c r="A2" s="2" t="inlineStr">
        <is>
          <t>SKU</t>
        </is>
      </c>
      <c r="B2" s="2" t="inlineStr">
        <is>
          <t>Producto</t>
        </is>
      </c>
      <c r="C2" s="2" t="inlineStr">
        <is>
          <t>Categoría</t>
        </is>
      </c>
      <c r="D2" s="2" t="inlineStr">
        <is>
          <t>Proveedor</t>
        </is>
      </c>
      <c r="E2" s="2" t="inlineStr">
        <is>
          <t>Ciudad almacén</t>
        </is>
      </c>
      <c r="F2" s="2" t="inlineStr">
        <is>
          <t>Precio unitario (€)</t>
        </is>
      </c>
      <c r="G2" s="2" t="inlineStr">
        <is>
          <t>Stock actual</t>
        </is>
      </c>
      <c r="H2" s="2" t="inlineStr">
        <is>
          <t>Demanda media diaria</t>
        </is>
      </c>
      <c r="I2" s="2" t="inlineStr">
        <is>
          <t>Desviación demanda diaria</t>
        </is>
      </c>
      <c r="J2" s="2" t="inlineStr">
        <is>
          <t>Plazo entrega (días)</t>
        </is>
      </c>
      <c r="K2" s="2" t="inlineStr">
        <is>
          <t>Nivel servicio (%)</t>
        </is>
      </c>
      <c r="L2" s="2" t="inlineStr">
        <is>
          <t>Factor servicio</t>
        </is>
      </c>
      <c r="M2" s="2" t="inlineStr">
        <is>
          <t>Stock de seguridad</t>
        </is>
      </c>
      <c r="N2" s="2" t="inlineStr">
        <is>
          <t>Punto de pedido</t>
        </is>
      </c>
      <c r="O2" s="2" t="inlineStr">
        <is>
          <t>Cobertura (días)</t>
        </is>
      </c>
      <c r="P2" s="2" t="inlineStr">
        <is>
          <t>Valor stock (€)</t>
        </is>
      </c>
      <c r="Q2" s="2" t="inlineStr">
        <is>
          <t>Estado</t>
        </is>
      </c>
      <c r="R2" s="2" t="inlineStr">
        <is>
          <t>Última revisión</t>
        </is>
      </c>
      <c r="S2" s="2" t="inlineStr">
        <is>
          <t>Responsable</t>
        </is>
      </c>
    </row>
    <row r="3">
      <c r="A3" s="3" t="inlineStr">
        <is>
          <t>SKU-001</t>
        </is>
      </c>
      <c r="B3" s="4" t="inlineStr">
        <is>
          <t>Café molido 1 kg</t>
        </is>
      </c>
      <c r="C3" s="3" t="inlineStr">
        <is>
          <t>Alimentación</t>
        </is>
      </c>
      <c r="D3" s="4" t="inlineStr">
        <is>
          <t>Cafés Sierra</t>
        </is>
      </c>
      <c r="E3" s="3" t="inlineStr">
        <is>
          <t>Madrid</t>
        </is>
      </c>
      <c r="F3" s="5" t="n">
        <v>8.949999999999999</v>
      </c>
      <c r="G3" s="6" t="n">
        <v>145</v>
      </c>
      <c r="H3" s="6" t="n">
        <v>18</v>
      </c>
      <c r="I3" s="7" t="n">
        <v>4.2</v>
      </c>
      <c r="J3" s="8" t="n">
        <v>5</v>
      </c>
      <c r="K3" s="9" t="n">
        <v>0.95</v>
      </c>
      <c r="L3" s="10">
        <f>IFERROR(VLOOKUP(K3,'Parámetros'!$A$5:$B$8,2,FALSE),1.65)</f>
        <v/>
      </c>
      <c r="M3" s="3">
        <f>ROUNDUP(L3*I3*SQRT(J3),0)</f>
        <v/>
      </c>
      <c r="N3" s="3">
        <f>ROUNDUP(H3*J3+M3,0)</f>
        <v/>
      </c>
      <c r="O3" s="11">
        <f>IFERROR(G3/H3,0)</f>
        <v/>
      </c>
      <c r="P3" s="12">
        <f>G3*F3</f>
        <v/>
      </c>
      <c r="Q3" s="3">
        <f>IF(G3&lt;=N3,"Reponer",IF(G3&lt;=N3*1.2,"Vigilar","Correcto"))</f>
        <v/>
      </c>
      <c r="R3" s="36" t="n">
        <v>46224</v>
      </c>
      <c r="S3" s="4" t="inlineStr">
        <is>
          <t>Lucía</t>
        </is>
      </c>
    </row>
    <row r="4">
      <c r="A4" s="14" t="inlineStr">
        <is>
          <t>SKU-002</t>
        </is>
      </c>
      <c r="B4" s="15" t="inlineStr">
        <is>
          <t>Aceite de oliva virgen extra 1 l</t>
        </is>
      </c>
      <c r="C4" s="14" t="inlineStr">
        <is>
          <t>Alimentación</t>
        </is>
      </c>
      <c r="D4" s="15" t="inlineStr">
        <is>
          <t>Aceites del Sur</t>
        </is>
      </c>
      <c r="E4" s="14" t="inlineStr">
        <is>
          <t>Sevilla</t>
        </is>
      </c>
      <c r="F4" s="5" t="n">
        <v>7.8</v>
      </c>
      <c r="G4" s="6" t="n">
        <v>96</v>
      </c>
      <c r="H4" s="6" t="n">
        <v>22</v>
      </c>
      <c r="I4" s="7" t="n">
        <v>5.1</v>
      </c>
      <c r="J4" s="8" t="n">
        <v>4</v>
      </c>
      <c r="K4" s="9" t="n">
        <v>0.95</v>
      </c>
      <c r="L4" s="16">
        <f>IFERROR(VLOOKUP(K4,'Parámetros'!$A$5:$B$8,2,FALSE),1.65)</f>
        <v/>
      </c>
      <c r="M4" s="14">
        <f>ROUNDUP(L4*I4*SQRT(J4),0)</f>
        <v/>
      </c>
      <c r="N4" s="14">
        <f>ROUNDUP(H4*J4+M4,0)</f>
        <v/>
      </c>
      <c r="O4" s="17">
        <f>IFERROR(G4/H4,0)</f>
        <v/>
      </c>
      <c r="P4" s="18">
        <f>G4*F4</f>
        <v/>
      </c>
      <c r="Q4" s="14">
        <f>IF(G4&lt;=N4,"Reponer",IF(G4&lt;=N4*1.2,"Vigilar","Correcto"))</f>
        <v/>
      </c>
      <c r="R4" s="36" t="n">
        <v>46221</v>
      </c>
      <c r="S4" s="15" t="inlineStr">
        <is>
          <t>Martín</t>
        </is>
      </c>
    </row>
    <row r="5">
      <c r="A5" s="3" t="inlineStr">
        <is>
          <t>SKU-003</t>
        </is>
      </c>
      <c r="B5" s="4" t="inlineStr">
        <is>
          <t>Papel A4 80 g (500 hojas)</t>
        </is>
      </c>
      <c r="C5" s="3" t="inlineStr">
        <is>
          <t>Oficina</t>
        </is>
      </c>
      <c r="D5" s="4" t="inlineStr">
        <is>
          <t>Suministros Iberia</t>
        </is>
      </c>
      <c r="E5" s="3" t="inlineStr">
        <is>
          <t>Valencia</t>
        </is>
      </c>
      <c r="F5" s="5" t="n">
        <v>4.6</v>
      </c>
      <c r="G5" s="6" t="n">
        <v>210</v>
      </c>
      <c r="H5" s="6" t="n">
        <v>12</v>
      </c>
      <c r="I5" s="7" t="n">
        <v>2.8</v>
      </c>
      <c r="J5" s="8" t="n">
        <v>6</v>
      </c>
      <c r="K5" s="9" t="n">
        <v>0.975</v>
      </c>
      <c r="L5" s="10">
        <f>IFERROR(VLOOKUP(K5,'Parámetros'!$A$5:$B$8,2,FALSE),1.65)</f>
        <v/>
      </c>
      <c r="M5" s="3">
        <f>ROUNDUP(L5*I5*SQRT(J5),0)</f>
        <v/>
      </c>
      <c r="N5" s="3">
        <f>ROUNDUP(H5*J5+M5,0)</f>
        <v/>
      </c>
      <c r="O5" s="11">
        <f>IFERROR(G5/H5,0)</f>
        <v/>
      </c>
      <c r="P5" s="12">
        <f>G5*F5</f>
        <v/>
      </c>
      <c r="Q5" s="3">
        <f>IF(G5&lt;=N5,"Reponer",IF(G5&lt;=N5*1.2,"Vigilar","Correcto"))</f>
        <v/>
      </c>
      <c r="R5" s="36" t="n">
        <v>46203</v>
      </c>
      <c r="S5" s="4" t="inlineStr">
        <is>
          <t>Sofía</t>
        </is>
      </c>
    </row>
    <row r="6">
      <c r="A6" s="14" t="inlineStr">
        <is>
          <t>SKU-004</t>
        </is>
      </c>
      <c r="B6" s="15" t="inlineStr">
        <is>
          <t>Detergente lavavajillas 5 l</t>
        </is>
      </c>
      <c r="C6" s="14" t="inlineStr">
        <is>
          <t>Limpieza</t>
        </is>
      </c>
      <c r="D6" s="15" t="inlineStr">
        <is>
          <t>Limpiezas Mediterráneo</t>
        </is>
      </c>
      <c r="E6" s="14" t="inlineStr">
        <is>
          <t>Barcelona</t>
        </is>
      </c>
      <c r="F6" s="5" t="n">
        <v>11.3</v>
      </c>
      <c r="G6" s="6" t="n">
        <v>54</v>
      </c>
      <c r="H6" s="6" t="n">
        <v>9</v>
      </c>
      <c r="I6" s="7" t="n">
        <v>2.4</v>
      </c>
      <c r="J6" s="8" t="n">
        <v>7</v>
      </c>
      <c r="K6" s="9" t="n">
        <v>0.95</v>
      </c>
      <c r="L6" s="16">
        <f>IFERROR(VLOOKUP(K6,'Parámetros'!$A$5:$B$8,2,FALSE),1.65)</f>
        <v/>
      </c>
      <c r="M6" s="14">
        <f>ROUNDUP(L6*I6*SQRT(J6),0)</f>
        <v/>
      </c>
      <c r="N6" s="14">
        <f>ROUNDUP(H6*J6+M6,0)</f>
        <v/>
      </c>
      <c r="O6" s="17">
        <f>IFERROR(G6/H6,0)</f>
        <v/>
      </c>
      <c r="P6" s="18">
        <f>G6*F6</f>
        <v/>
      </c>
      <c r="Q6" s="14">
        <f>IF(G6&lt;=N6,"Reponer",IF(G6&lt;=N6*1.2,"Vigilar","Correcto"))</f>
        <v/>
      </c>
      <c r="R6" s="36" t="n">
        <v>46228</v>
      </c>
      <c r="S6" s="15" t="inlineStr">
        <is>
          <t>Hugo</t>
        </is>
      </c>
    </row>
    <row r="7">
      <c r="A7" s="3" t="inlineStr">
        <is>
          <t>SKU-005</t>
        </is>
      </c>
      <c r="B7" s="4" t="inlineStr">
        <is>
          <t>Agua mineral 1,5 l (pack 6)</t>
        </is>
      </c>
      <c r="C7" s="3" t="inlineStr">
        <is>
          <t>Bebidas</t>
        </is>
      </c>
      <c r="D7" s="4" t="inlineStr">
        <is>
          <t>Bebidas Levante</t>
        </is>
      </c>
      <c r="E7" s="3" t="inlineStr">
        <is>
          <t>Alicante</t>
        </is>
      </c>
      <c r="F7" s="5" t="n">
        <v>2.35</v>
      </c>
      <c r="G7" s="6" t="n">
        <v>320</v>
      </c>
      <c r="H7" s="6" t="n">
        <v>45</v>
      </c>
      <c r="I7" s="7" t="n">
        <v>9.5</v>
      </c>
      <c r="J7" s="8" t="n">
        <v>3</v>
      </c>
      <c r="K7" s="9" t="n">
        <v>0.9</v>
      </c>
      <c r="L7" s="10">
        <f>IFERROR(VLOOKUP(K7,'Parámetros'!$A$5:$B$8,2,FALSE),1.65)</f>
        <v/>
      </c>
      <c r="M7" s="3">
        <f>ROUNDUP(L7*I7*SQRT(J7),0)</f>
        <v/>
      </c>
      <c r="N7" s="3">
        <f>ROUNDUP(H7*J7+M7,0)</f>
        <v/>
      </c>
      <c r="O7" s="11">
        <f>IFERROR(G7/H7,0)</f>
        <v/>
      </c>
      <c r="P7" s="12">
        <f>G7*F7</f>
        <v/>
      </c>
      <c r="Q7" s="3">
        <f>IF(G7&lt;=N7,"Reponer",IF(G7&lt;=N7*1.2,"Vigilar","Correcto"))</f>
        <v/>
      </c>
      <c r="R7" s="36" t="n">
        <v>46231</v>
      </c>
      <c r="S7" s="4" t="inlineStr">
        <is>
          <t>Marta</t>
        </is>
      </c>
    </row>
    <row r="8">
      <c r="A8" s="14" t="inlineStr">
        <is>
          <t>SKU-006</t>
        </is>
      </c>
      <c r="B8" s="15" t="inlineStr">
        <is>
          <t>Guantes nitrilo talla M (caja 100)</t>
        </is>
      </c>
      <c r="C8" s="14" t="inlineStr">
        <is>
          <t>Seguridad</t>
        </is>
      </c>
      <c r="D8" s="15" t="inlineStr">
        <is>
          <t>Seguridad Norte</t>
        </is>
      </c>
      <c r="E8" s="14" t="inlineStr">
        <is>
          <t>Bilbao</t>
        </is>
      </c>
      <c r="F8" s="5" t="n">
        <v>6.75</v>
      </c>
      <c r="G8" s="6" t="n">
        <v>48</v>
      </c>
      <c r="H8" s="6" t="n">
        <v>14</v>
      </c>
      <c r="I8" s="7" t="n">
        <v>3.6</v>
      </c>
      <c r="J8" s="8" t="n">
        <v>8</v>
      </c>
      <c r="K8" s="9" t="n">
        <v>0.99</v>
      </c>
      <c r="L8" s="16">
        <f>IFERROR(VLOOKUP(K8,'Parámetros'!$A$5:$B$8,2,FALSE),1.65)</f>
        <v/>
      </c>
      <c r="M8" s="14">
        <f>ROUNDUP(L8*I8*SQRT(J8),0)</f>
        <v/>
      </c>
      <c r="N8" s="14">
        <f>ROUNDUP(H8*J8+M8,0)</f>
        <v/>
      </c>
      <c r="O8" s="17">
        <f>IFERROR(G8/H8,0)</f>
        <v/>
      </c>
      <c r="P8" s="18">
        <f>G8*F8</f>
        <v/>
      </c>
      <c r="Q8" s="14">
        <f>IF(G8&lt;=N8,"Reponer",IF(G8&lt;=N8*1.2,"Vigilar","Correcto"))</f>
        <v/>
      </c>
      <c r="R8" s="36" t="n">
        <v>46195</v>
      </c>
      <c r="S8" s="15" t="inlineStr">
        <is>
          <t>Pablo</t>
        </is>
      </c>
    </row>
    <row r="9">
      <c r="A9" s="3" t="inlineStr">
        <is>
          <t>SKU-007</t>
        </is>
      </c>
      <c r="B9" s="4" t="inlineStr">
        <is>
          <t>Bombillas LED 10 W</t>
        </is>
      </c>
      <c r="C9" s="3" t="inlineStr">
        <is>
          <t>Iluminación</t>
        </is>
      </c>
      <c r="D9" s="4" t="inlineStr">
        <is>
          <t>Iluminación Aragón</t>
        </is>
      </c>
      <c r="E9" s="3" t="inlineStr">
        <is>
          <t>Zaragoza</t>
        </is>
      </c>
      <c r="F9" s="5" t="n">
        <v>3.9</v>
      </c>
      <c r="G9" s="6" t="n">
        <v>130</v>
      </c>
      <c r="H9" s="6" t="n">
        <v>7</v>
      </c>
      <c r="I9" s="7" t="n">
        <v>1.8</v>
      </c>
      <c r="J9" s="8" t="n">
        <v>5</v>
      </c>
      <c r="K9" s="9" t="n">
        <v>0.95</v>
      </c>
      <c r="L9" s="10">
        <f>IFERROR(VLOOKUP(K9,'Parámetros'!$A$5:$B$8,2,FALSE),1.65)</f>
        <v/>
      </c>
      <c r="M9" s="3">
        <f>ROUNDUP(L9*I9*SQRT(J9),0)</f>
        <v/>
      </c>
      <c r="N9" s="3">
        <f>ROUNDUP(H9*J9+M9,0)</f>
        <v/>
      </c>
      <c r="O9" s="11">
        <f>IFERROR(G9/H9,0)</f>
        <v/>
      </c>
      <c r="P9" s="12">
        <f>G9*F9</f>
        <v/>
      </c>
      <c r="Q9" s="3">
        <f>IF(G9&lt;=N9,"Reponer",IF(G9&lt;=N9*1.2,"Vigilar","Correcto"))</f>
        <v/>
      </c>
      <c r="R9" s="36" t="n">
        <v>46213</v>
      </c>
      <c r="S9" s="4" t="inlineStr">
        <is>
          <t>Carmen</t>
        </is>
      </c>
    </row>
    <row r="10">
      <c r="A10" s="14" t="inlineStr">
        <is>
          <t>SKU-008</t>
        </is>
      </c>
      <c r="B10" s="15" t="inlineStr">
        <is>
          <t>Cajas de cartón medianas</t>
        </is>
      </c>
      <c r="C10" s="14" t="inlineStr">
        <is>
          <t>Embalaje</t>
        </is>
      </c>
      <c r="D10" s="15" t="inlineStr">
        <is>
          <t>Embalajes Centro</t>
        </is>
      </c>
      <c r="E10" s="14" t="inlineStr">
        <is>
          <t>Madrid</t>
        </is>
      </c>
      <c r="F10" s="5" t="n">
        <v>0.85</v>
      </c>
      <c r="G10" s="6" t="n">
        <v>260</v>
      </c>
      <c r="H10" s="6" t="n">
        <v>30</v>
      </c>
      <c r="I10" s="7" t="n">
        <v>7.2</v>
      </c>
      <c r="J10" s="8" t="n">
        <v>4</v>
      </c>
      <c r="K10" s="9" t="n">
        <v>0.95</v>
      </c>
      <c r="L10" s="16">
        <f>IFERROR(VLOOKUP(K10,'Parámetros'!$A$5:$B$8,2,FALSE),1.65)</f>
        <v/>
      </c>
      <c r="M10" s="14">
        <f>ROUNDUP(L10*I10*SQRT(J10),0)</f>
        <v/>
      </c>
      <c r="N10" s="14">
        <f>ROUNDUP(H10*J10+M10,0)</f>
        <v/>
      </c>
      <c r="O10" s="17">
        <f>IFERROR(G10/H10,0)</f>
        <v/>
      </c>
      <c r="P10" s="18">
        <f>G10*F10</f>
        <v/>
      </c>
      <c r="Q10" s="14">
        <f>IF(G10&lt;=N10,"Reponer",IF(G10&lt;=N10*1.2,"Vigilar","Correcto"))</f>
        <v/>
      </c>
      <c r="R10" s="36" t="n">
        <v>46234</v>
      </c>
      <c r="S10" s="15" t="inlineStr">
        <is>
          <t>Javier</t>
        </is>
      </c>
    </row>
    <row r="11">
      <c r="A11" s="3" t="inlineStr">
        <is>
          <t>SKU-009</t>
        </is>
      </c>
      <c r="B11" s="4" t="inlineStr">
        <is>
          <t>Tóner negro compatible</t>
        </is>
      </c>
      <c r="C11" s="3" t="inlineStr">
        <is>
          <t>Oficina</t>
        </is>
      </c>
      <c r="D11" s="4" t="inlineStr">
        <is>
          <t>Oficina Digital</t>
        </is>
      </c>
      <c r="E11" s="3" t="inlineStr">
        <is>
          <t>Málaga</t>
        </is>
      </c>
      <c r="F11" s="5" t="n">
        <v>19.5</v>
      </c>
      <c r="G11" s="6" t="n">
        <v>22</v>
      </c>
      <c r="H11" s="6" t="n">
        <v>3</v>
      </c>
      <c r="I11" s="7" t="n">
        <v>0.9</v>
      </c>
      <c r="J11" s="8" t="n">
        <v>6</v>
      </c>
      <c r="K11" s="9" t="n">
        <v>0.975</v>
      </c>
      <c r="L11" s="10">
        <f>IFERROR(VLOOKUP(K11,'Parámetros'!$A$5:$B$8,2,FALSE),1.65)</f>
        <v/>
      </c>
      <c r="M11" s="3">
        <f>ROUNDUP(L11*I11*SQRT(J11),0)</f>
        <v/>
      </c>
      <c r="N11" s="3">
        <f>ROUNDUP(H11*J11+M11,0)</f>
        <v/>
      </c>
      <c r="O11" s="11">
        <f>IFERROR(G11/H11,0)</f>
        <v/>
      </c>
      <c r="P11" s="12">
        <f>G11*F11</f>
        <v/>
      </c>
      <c r="Q11" s="3">
        <f>IF(G11&lt;=N11,"Reponer",IF(G11&lt;=N11*1.2,"Vigilar","Correcto"))</f>
        <v/>
      </c>
      <c r="R11" s="36" t="n">
        <v>46188</v>
      </c>
      <c r="S11" s="4" t="inlineStr">
        <is>
          <t>Laura</t>
        </is>
      </c>
    </row>
  </sheetData>
  <mergeCells count="1">
    <mergeCell ref="A1:S1"/>
  </mergeCells>
  <conditionalFormatting sqref="Q3:Q11">
    <cfRule type="expression" priority="1" dxfId="0" stopIfTrue="1">
      <formula>Q3="Reponer"</formula>
    </cfRule>
    <cfRule type="expression" priority="2" dxfId="1" stopIfTrue="1">
      <formula>Q3="Vigilar"</formula>
    </cfRule>
    <cfRule type="expression" priority="3" dxfId="2" stopIfTrue="1">
      <formula>Q3="Correcto"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32" customWidth="1" min="1" max="1"/>
    <col width="14" customWidth="1" min="2" max="2"/>
    <col width="14" customWidth="1" min="3" max="3"/>
    <col width="14" customWidth="1" min="4" max="4"/>
  </cols>
  <sheetData>
    <row r="1" ht="28" customHeight="1">
      <c r="A1" s="1" t="inlineStr">
        <is>
          <t>PARÁMETROS DE CÁLCULO</t>
        </is>
      </c>
    </row>
    <row r="2"/>
    <row r="3">
      <c r="A3" s="19" t="inlineStr">
        <is>
          <t>Tabla de niveles de servicio</t>
        </is>
      </c>
    </row>
    <row r="4">
      <c r="A4" s="20" t="inlineStr">
        <is>
          <t>Nivel servicio (%)</t>
        </is>
      </c>
      <c r="B4" s="20" t="inlineStr">
        <is>
          <t>Factor Z</t>
        </is>
      </c>
    </row>
    <row r="5">
      <c r="A5" s="9" t="n">
        <v>0.9</v>
      </c>
      <c r="B5" s="10" t="n">
        <v>1.28</v>
      </c>
    </row>
    <row r="6">
      <c r="A6" s="9" t="n">
        <v>0.95</v>
      </c>
      <c r="B6" s="16" t="n">
        <v>1.65</v>
      </c>
    </row>
    <row r="7">
      <c r="A7" s="9" t="n">
        <v>0.975</v>
      </c>
      <c r="B7" s="10" t="n">
        <v>1.96</v>
      </c>
    </row>
    <row r="8">
      <c r="A8" s="9" t="n">
        <v>0.99</v>
      </c>
      <c r="B8" s="16" t="n">
        <v>2.33</v>
      </c>
    </row>
    <row r="9"/>
    <row r="10">
      <c r="A10" s="19" t="inlineStr">
        <is>
          <t>Parámetros generales</t>
        </is>
      </c>
    </row>
    <row r="11">
      <c r="A11" s="21" t="inlineStr">
        <is>
          <t>Días del periodo de análisis</t>
        </is>
      </c>
      <c r="B11" s="22" t="n">
        <v>30</v>
      </c>
    </row>
    <row r="12">
      <c r="A12" s="21" t="inlineStr">
        <is>
          <t>Umbral de vigilancia</t>
        </is>
      </c>
      <c r="B12" s="23" t="n">
        <v>1.2</v>
      </c>
    </row>
    <row r="13">
      <c r="A13" s="21" t="inlineStr">
        <is>
          <t>IVA estándar de referencia</t>
        </is>
      </c>
      <c r="B13" s="23" t="n">
        <v>0.21</v>
      </c>
    </row>
    <row r="14"/>
    <row r="15">
      <c r="A15" s="19" t="inlineStr">
        <is>
          <t>Nota metodológica</t>
        </is>
      </c>
    </row>
    <row r="16">
      <c r="A16" s="24" t="inlineStr">
        <is>
          <t>El stock de seguridad es una estimación basada en la variabilidad de la demanda y el plazo de entrega. Debe ajustarse según históricos de ventas, estacionalidad, promociones y fiabilidad del proveedor. El IVA no se utiliza para calcular unidades, pero permite estimar importes con IVA si se añade una columna opcional.</t>
        </is>
      </c>
      <c r="B16" s="37" t="n"/>
      <c r="C16" s="37" t="n"/>
      <c r="D16" s="38" t="n"/>
    </row>
    <row r="17">
      <c r="A17" s="39" t="n"/>
      <c r="D17" s="40" t="n"/>
    </row>
    <row r="18">
      <c r="A18" s="39" t="n"/>
      <c r="D18" s="40" t="n"/>
    </row>
    <row r="19">
      <c r="A19" s="39" t="n"/>
      <c r="D19" s="40" t="n"/>
    </row>
    <row r="20">
      <c r="A20" s="41" t="n"/>
      <c r="B20" s="42" t="n"/>
      <c r="C20" s="42" t="n"/>
      <c r="D20" s="43" t="n"/>
    </row>
  </sheetData>
  <mergeCells count="2">
    <mergeCell ref="A1:D1"/>
    <mergeCell ref="A16:D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3" customWidth="1" min="3" max="3"/>
    <col width="18" customWidth="1" min="4" max="4"/>
    <col width="16" customWidth="1" min="5" max="5"/>
    <col width="3" customWidth="1" min="6" max="6"/>
    <col width="16" customWidth="1" min="7" max="7"/>
    <col width="16" customWidth="1" min="8" max="8"/>
  </cols>
  <sheetData>
    <row r="1" ht="30" customHeight="1">
      <c r="A1" s="1" t="inlineStr">
        <is>
          <t>RESUMEN — PANEL DE CONTROL DE INVENTARIO 2026</t>
        </is>
      </c>
    </row>
    <row r="2"/>
    <row r="3">
      <c r="A3" s="25" t="inlineStr">
        <is>
          <t>Referencias totales</t>
        </is>
      </c>
      <c r="B3" s="44" t="n"/>
      <c r="D3" s="20" t="inlineStr">
        <is>
          <t>Referencias a reponer</t>
        </is>
      </c>
      <c r="E3" s="44" t="n"/>
      <c r="G3" s="25" t="inlineStr">
        <is>
          <t>Valor total inventario</t>
        </is>
      </c>
      <c r="H3" s="44" t="n"/>
    </row>
    <row r="4">
      <c r="A4" s="26">
        <f>COUNTA(Inventario!A3:A11)</f>
        <v/>
      </c>
      <c r="B4" s="44" t="n"/>
      <c r="D4" s="27">
        <f>COUNTIF(Inventario!Q3:Q11,"Reponer")</f>
        <v/>
      </c>
      <c r="E4" s="44" t="n"/>
      <c r="G4" s="28">
        <f>SUM(Inventario!P3:P11)</f>
        <v/>
      </c>
      <c r="H4" s="44" t="n"/>
    </row>
    <row r="5"/>
    <row r="6">
      <c r="A6" s="25" t="inlineStr">
        <is>
          <t>Stock de seguridad total</t>
        </is>
      </c>
      <c r="B6" s="44" t="n"/>
      <c r="D6" s="25" t="inlineStr">
        <is>
          <t>Demanda media diaria</t>
        </is>
      </c>
      <c r="E6" s="44" t="n"/>
      <c r="G6" s="29" t="inlineStr">
        <is>
          <t>% referencias correctas</t>
        </is>
      </c>
      <c r="H6" s="44" t="n"/>
    </row>
    <row r="7">
      <c r="A7" s="26">
        <f>SUM(Inventario!M3:M11)</f>
        <v/>
      </c>
      <c r="B7" s="44" t="n"/>
      <c r="D7" s="30">
        <f>AVERAGE(Inventario!H3:H11)</f>
        <v/>
      </c>
      <c r="E7" s="44" t="n"/>
      <c r="G7" s="31">
        <f>IFERROR(COUNTIF(Inventario!Q3:Q11,"Correcto")/COUNTA(Inventario!A3:A11),0)</f>
        <v/>
      </c>
      <c r="H7" s="44" t="n"/>
    </row>
    <row r="8"/>
    <row r="9"/>
    <row r="10">
      <c r="A10" s="19" t="inlineStr">
        <is>
          <t>Distribución por estado</t>
        </is>
      </c>
      <c r="D10" s="19" t="inlineStr">
        <is>
          <t>Valor del stock por categoría</t>
        </is>
      </c>
    </row>
    <row r="11">
      <c r="A11" s="4" t="inlineStr">
        <is>
          <t>Reponer</t>
        </is>
      </c>
      <c r="B11" s="3">
        <f>COUNTIF(Inventario!Q3:Q11,"Reponer")</f>
        <v/>
      </c>
      <c r="D11" s="4" t="inlineStr">
        <is>
          <t>Alimentación</t>
        </is>
      </c>
      <c r="E11" s="12">
        <f>SUMIF(Inventario!C3:C11,D11,Inventario!P3:P11)</f>
        <v/>
      </c>
    </row>
    <row r="12">
      <c r="A12" s="4" t="inlineStr">
        <is>
          <t>Vigilar</t>
        </is>
      </c>
      <c r="B12" s="3">
        <f>COUNTIF(Inventario!Q3:Q11,"Vigilar")</f>
        <v/>
      </c>
      <c r="D12" s="4" t="inlineStr">
        <is>
          <t>Oficina</t>
        </is>
      </c>
      <c r="E12" s="12">
        <f>SUMIF(Inventario!C3:C11,D12,Inventario!P3:P11)</f>
        <v/>
      </c>
    </row>
    <row r="13">
      <c r="A13" s="4" t="inlineStr">
        <is>
          <t>Correcto</t>
        </is>
      </c>
      <c r="B13" s="3">
        <f>COUNTIF(Inventario!Q3:Q11,"Correcto")</f>
        <v/>
      </c>
      <c r="D13" s="4" t="inlineStr">
        <is>
          <t>Limpieza</t>
        </is>
      </c>
      <c r="E13" s="12">
        <f>SUMIF(Inventario!C3:C11,D13,Inventario!P3:P11)</f>
        <v/>
      </c>
    </row>
    <row r="14">
      <c r="D14" s="4" t="inlineStr">
        <is>
          <t>Bebidas</t>
        </is>
      </c>
      <c r="E14" s="12">
        <f>SUMIF(Inventario!C3:C11,D14,Inventario!P3:P11)</f>
        <v/>
      </c>
    </row>
    <row r="15">
      <c r="D15" s="4" t="inlineStr">
        <is>
          <t>Seguridad</t>
        </is>
      </c>
      <c r="E15" s="12">
        <f>SUMIF(Inventario!C3:C11,D15,Inventario!P3:P11)</f>
        <v/>
      </c>
    </row>
    <row r="16">
      <c r="D16" s="4" t="inlineStr">
        <is>
          <t>Iluminación</t>
        </is>
      </c>
      <c r="E16" s="12">
        <f>SUMIF(Inventario!C3:C11,D16,Inventario!P3:P11)</f>
        <v/>
      </c>
    </row>
    <row r="17">
      <c r="D17" s="4" t="inlineStr">
        <is>
          <t>Embalaje</t>
        </is>
      </c>
      <c r="E17" s="12">
        <f>SUMIF(Inventario!C3:C11,D17,Inventario!P3:P11)</f>
        <v/>
      </c>
    </row>
  </sheetData>
  <mergeCells count="13">
    <mergeCell ref="A1:H1"/>
    <mergeCell ref="A3:B3"/>
    <mergeCell ref="A4:B4"/>
    <mergeCell ref="D3:E3"/>
    <mergeCell ref="D4:E4"/>
    <mergeCell ref="G3:H3"/>
    <mergeCell ref="G4:H4"/>
    <mergeCell ref="A6:B6"/>
    <mergeCell ref="A7:B7"/>
    <mergeCell ref="D6:E6"/>
    <mergeCell ref="D7:E7"/>
    <mergeCell ref="G6:H6"/>
    <mergeCell ref="G7:H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00" customWidth="1" min="2" max="2"/>
  </cols>
  <sheetData>
    <row r="1" ht="28" customHeight="1">
      <c r="A1" s="1" t="inlineStr">
        <is>
          <t>INSTRUCCIONES DE USO</t>
        </is>
      </c>
    </row>
    <row r="2"/>
    <row r="3">
      <c r="A3" s="32" t="inlineStr">
        <is>
          <t>Sección</t>
        </is>
      </c>
      <c r="B3" s="32" t="inlineStr">
        <is>
          <t>Descripción</t>
        </is>
      </c>
    </row>
    <row r="4" ht="42" customHeight="1">
      <c r="A4" s="33" t="inlineStr">
        <is>
          <t>Inventario</t>
        </is>
      </c>
      <c r="B4" s="34" t="inlineStr">
        <is>
          <t>Hoja principal. Introduzca los datos de cada producto en las celdas con fondo amarillo pálido (precio, stock, demanda, desviación, plazo, nivel de servicio y fecha de revisión).</t>
        </is>
      </c>
    </row>
    <row r="5" ht="42" customHeight="1">
      <c r="A5" s="35" t="inlineStr">
        <is>
          <t>Inventario — columnas calculadas</t>
        </is>
      </c>
      <c r="B5" s="24" t="inlineStr">
        <is>
          <t>Factor servicio, stock de seguridad, punto de pedido, cobertura, valor del stock y estado se calculan automáticamente. No las edite.</t>
        </is>
      </c>
    </row>
    <row r="6" ht="42" customHeight="1">
      <c r="A6" s="33" t="inlineStr">
        <is>
          <t>Estado</t>
        </is>
      </c>
      <c r="B6" s="34" t="inlineStr">
        <is>
          <t>Reponer: el stock actual es igual o inferior al punto de pedido. Vigilar: el stock está por debajo del 120 % del punto de pedido. Correcto: situación adecuada.</t>
        </is>
      </c>
    </row>
    <row r="7" ht="42" customHeight="1">
      <c r="A7" s="35" t="inlineStr">
        <is>
          <t>Parámetros</t>
        </is>
      </c>
      <c r="B7" s="24" t="inlineStr">
        <is>
          <t>Tabla editable con los factores Z por nivel de servicio y parámetros generales (días de análisis, umbral de vigilancia e IVA de referencia).</t>
        </is>
      </c>
    </row>
    <row r="8" ht="42" customHeight="1">
      <c r="A8" s="33" t="inlineStr">
        <is>
          <t>Resumen</t>
        </is>
      </c>
      <c r="B8" s="34" t="inlineStr">
        <is>
          <t>Panel con indicadores clave (referencias, reposiciones, valor del inventario) y gráficos de stock frente a punto de pedido, distribución por estado y valor por categoría.</t>
        </is>
      </c>
    </row>
    <row r="9" ht="42" customHeight="1">
      <c r="A9" s="35" t="inlineStr">
        <is>
          <t>Formatos</t>
        </is>
      </c>
      <c r="B9" s="24" t="inlineStr">
        <is>
          <t>Fechas en DD/MM/AAAA, moneda en euros con formato español (1.234,56 €) y porcentajes con un decimal.</t>
        </is>
      </c>
    </row>
    <row r="10" ht="42" customHeight="1">
      <c r="A10" s="33" t="inlineStr">
        <is>
          <t>Aviso</t>
        </is>
      </c>
      <c r="B10" s="34" t="inlineStr">
        <is>
          <t>El stock de seguridad es una estimación; ajústelo con históricos, estacionalidad y fiabilidad del proveedor.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2026-08-01T13:15:22Z</dcterms:created>
  <dcterms:modified xmlns:dcterms="http://purl.org/dc/terms/" xmlns:xsi="http://www.w3.org/2001/XMLSchema-instance" xsi:type="dcterms:W3CDTF">2026-08-01T13:15:22Z</dcterms:modified>
</cp:coreProperties>
</file>