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tálogo" sheetId="1" state="visible" r:id="rId1"/>
    <sheet xmlns:r="http://schemas.openxmlformats.org/officeDocument/2006/relationships" name="Movimientos" sheetId="2" state="visible" r:id="rId2"/>
    <sheet xmlns:r="http://schemas.openxmlformats.org/officeDocument/2006/relationships" name="Resumen" sheetId="3" state="visible" r:id="rId3"/>
    <sheet xmlns:r="http://schemas.openxmlformats.org/officeDocument/2006/relationships" name="Instrucciones" sheetId="4" state="visible" r:id="rId4"/>
  </sheets>
  <definedNames>
    <definedName name="_xlnm._FilterDatabase" localSheetId="1" hidden="1">'Movimientos'!$A$3:$T$13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&quot; €&quot;"/>
    <numFmt numFmtId="165" formatCode="DD/MM/YYYY"/>
    <numFmt numFmtId="166" formatCode="0.0%"/>
  </numFmts>
  <fonts count="5">
    <font>
      <name val="Calibri"/>
      <family val="2"/>
      <color theme="1"/>
      <sz val="11"/>
      <scheme val="minor"/>
    </font>
    <font>
      <b val="1"/>
      <color rgb="FF1E293B"/>
      <sz val="14"/>
    </font>
    <font>
      <b val="1"/>
      <color rgb="FFFFFFFF"/>
      <sz val="11"/>
    </font>
    <font>
      <b val="1"/>
      <color rgb="FFC8102E"/>
    </font>
    <font>
      <b val="1"/>
      <color rgb="FF1E293B"/>
    </font>
  </fonts>
  <fills count="7">
    <fill>
      <patternFill/>
    </fill>
    <fill>
      <patternFill patternType="gray125"/>
    </fill>
    <fill>
      <patternFill patternType="solid">
        <fgColor rgb="FF1E293B"/>
      </patternFill>
    </fill>
    <fill>
      <patternFill patternType="solid">
        <fgColor rgb="FFFFFBEB"/>
      </patternFill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rgb="FFC8102E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0" borderId="1" pivotButton="0" quotePrefix="0" xfId="0"/>
    <xf numFmtId="164" fontId="0" fillId="3" borderId="1" pivotButton="0" quotePrefix="0" xfId="0"/>
    <xf numFmtId="9" fontId="0" fillId="3" borderId="1" pivotButton="0" quotePrefix="0" xfId="0"/>
    <xf numFmtId="164" fontId="0" fillId="0" borderId="1" pivotButton="0" quotePrefix="0" xfId="0"/>
    <xf numFmtId="0" fontId="0" fillId="4" borderId="1" pivotButton="0" quotePrefix="0" xfId="0"/>
    <xf numFmtId="164" fontId="0" fillId="4" borderId="1" pivotButton="0" quotePrefix="0" xfId="0"/>
    <xf numFmtId="165" fontId="0" fillId="3" borderId="1" pivotButton="0" quotePrefix="0" xfId="0"/>
    <xf numFmtId="0" fontId="3" fillId="0" borderId="0" pivotButton="0" quotePrefix="0" xfId="0"/>
    <xf numFmtId="0" fontId="2" fillId="6" borderId="0" pivotButton="0" quotePrefix="0" xfId="0"/>
    <xf numFmtId="0" fontId="4" fillId="5" borderId="1" pivotButton="0" quotePrefix="0" xfId="0"/>
    <xf numFmtId="1" fontId="0" fillId="0" borderId="1" applyAlignment="1" pivotButton="0" quotePrefix="0" xfId="0">
      <alignment horizontal="center" vertical="center" wrapText="1"/>
    </xf>
    <xf numFmtId="0" fontId="4" fillId="4" borderId="1" pivotButton="0" quotePrefix="0" xfId="0"/>
    <xf numFmtId="165" fontId="0" fillId="0" borderId="1" pivotButton="0" quotePrefix="0" xfId="0"/>
    <xf numFmtId="164" fontId="0" fillId="0" borderId="1" applyAlignment="1" pivotButton="0" quotePrefix="0" xfId="0">
      <alignment horizontal="center" vertical="center" wrapText="1"/>
    </xf>
    <xf numFmtId="165" fontId="0" fillId="4" borderId="1" pivotButton="0" quotePrefix="0" xfId="0"/>
    <xf numFmtId="166" fontId="0" fillId="0" borderId="1" applyAlignment="1" pivotButton="0" quotePrefix="0" xfId="0">
      <alignment horizontal="center" vertical="center" wrapText="1"/>
    </xf>
    <xf numFmtId="0" fontId="2" fillId="6" borderId="1" pivotButton="0" quotePrefix="0" xfId="0"/>
    <xf numFmtId="0" fontId="0" fillId="0" borderId="1" applyAlignment="1" pivotButton="0" quotePrefix="0" xfId="0">
      <alignment vertical="center" wrapText="1"/>
    </xf>
    <xf numFmtId="165" fontId="0" fillId="3" borderId="1" pivotButton="0" quotePrefix="0" xfId="0"/>
    <xf numFmtId="165" fontId="0" fillId="0" borderId="1" pivotButton="0" quotePrefix="0" xfId="0"/>
    <xf numFmtId="165" fontId="0" fillId="4" borderId="1" pivotButton="0" quotePrefix="0" xfId="0"/>
    <xf numFmtId="166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FF16A34A"/>
      </font>
      <fill>
        <patternFill patternType="solid">
          <fgColor rgb="FFDCFCE7"/>
        </patternFill>
      </fill>
    </dxf>
    <dxf>
      <font>
        <b val="1"/>
        <color rgb="FFDC2626"/>
      </font>
      <fill>
        <patternFill patternType="solid">
          <fgColor rgb="FF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Unidades de entradas vs salidas por categoría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'Resumen'!E4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'Resumen'!$D$5:$D$7</f>
            </numRef>
          </cat>
          <val>
            <numRef>
              <f>'Resumen'!$E$5:$E$7</f>
            </numRef>
          </val>
        </ser>
        <ser>
          <idx val="1"/>
          <order val="1"/>
          <tx>
            <strRef>
              <f>'Resumen'!F4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'Resumen'!$D$5:$D$7</f>
            </numRef>
          </cat>
          <val>
            <numRef>
              <f>'Resumen'!$F$5:$F$7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Unidades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actual del stock por categoría</a:t>
            </a:r>
          </a:p>
        </rich>
      </tx>
    </title>
    <plotArea>
      <pieChart>
        <varyColors val="1"/>
        <ser>
          <idx val="0"/>
          <order val="0"/>
          <tx>
            <strRef>
              <f>'Resumen'!G4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'Resumen'!$D$5:$D$7</f>
            </numRef>
          </cat>
          <val>
            <numRef>
              <f>'Resumen'!$G$5:$G$7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de entradas y salidas 2026</a:t>
            </a:r>
          </a:p>
        </rich>
      </tx>
    </title>
    <plotArea>
      <lineChart>
        <grouping val="standard"/>
        <ser>
          <idx val="0"/>
          <order val="0"/>
          <tx>
            <strRef>
              <f>'Resumen'!J4</f>
            </strRef>
          </tx>
          <spPr>
            <a:ln xmlns:a="http://schemas.openxmlformats.org/drawingml/2006/main" w="22000">
              <a:solidFill>
                <a:srgbClr val="16A34A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'Resumen'!$I$5:$I$12</f>
            </numRef>
          </cat>
          <val>
            <numRef>
              <f>'Resumen'!$J$5:$J$12</f>
            </numRef>
          </val>
        </ser>
        <ser>
          <idx val="1"/>
          <order val="1"/>
          <tx>
            <strRef>
              <f>'Resumen'!K4</f>
            </strRef>
          </tx>
          <spPr>
            <a:ln xmlns:a="http://schemas.openxmlformats.org/drawingml/2006/main" w="22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'Resumen'!$I$5:$I$12</f>
            </numRef>
          </cat>
          <val>
            <numRef>
              <f>'Resumen'!$K$5:$K$12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Semana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Movimientos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17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17</row>
      <rowOff>0</rowOff>
    </from>
    <ext cx="36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3</col>
      <colOff>0</colOff>
      <row>33</row>
      <rowOff>0</rowOff>
    </from>
    <ext cx="86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14" customWidth="1" min="3" max="3"/>
    <col width="10" customWidth="1" min="4" max="4"/>
    <col width="16" customWidth="1" min="5" max="5"/>
    <col width="12" customWidth="1" min="6" max="6"/>
    <col width="12" customWidth="1" min="7" max="7"/>
    <col width="28" customWidth="1" min="8" max="8"/>
    <col width="14" customWidth="1" min="9" max="9"/>
    <col width="12" customWidth="1" min="10" max="10"/>
    <col width="18" customWidth="1" min="11" max="11"/>
    <col width="12" customWidth="1" min="12" max="12"/>
  </cols>
  <sheetData>
    <row r="1">
      <c r="A1" s="1" t="inlineStr">
        <is>
          <t>Catálogo de productos</t>
        </is>
      </c>
    </row>
    <row r="2"/>
    <row r="3">
      <c r="A3" s="2" t="inlineStr">
        <is>
          <t>SKU</t>
        </is>
      </c>
      <c r="B3" s="2" t="inlineStr">
        <is>
          <t>Producto</t>
        </is>
      </c>
      <c r="C3" s="2" t="inlineStr">
        <is>
          <t>Categoría</t>
        </is>
      </c>
      <c r="D3" s="2" t="inlineStr">
        <is>
          <t>Unidad</t>
        </is>
      </c>
      <c r="E3" s="2" t="inlineStr">
        <is>
          <t>Precio unitario (€)</t>
        </is>
      </c>
      <c r="F3" s="2" t="inlineStr">
        <is>
          <t>Stock inicial</t>
        </is>
      </c>
      <c r="G3" s="2" t="inlineStr">
        <is>
          <t>Stock mínimo</t>
        </is>
      </c>
      <c r="H3" s="2" t="inlineStr">
        <is>
          <t>Proveedor habitual</t>
        </is>
      </c>
      <c r="I3" s="2" t="inlineStr">
        <is>
          <t>IVA aplicable (%)</t>
        </is>
      </c>
      <c r="J3" s="2" t="inlineStr">
        <is>
          <t>Stock actual</t>
        </is>
      </c>
      <c r="K3" s="2" t="inlineStr">
        <is>
          <t>Valor del stock (€)</t>
        </is>
      </c>
      <c r="L3" s="2" t="inlineStr">
        <is>
          <t>Estado</t>
        </is>
      </c>
    </row>
    <row r="4">
      <c r="A4" s="3" t="inlineStr">
        <is>
          <t>SKU-001</t>
        </is>
      </c>
      <c r="B4" s="4" t="inlineStr">
        <is>
          <t>Aceite de oliva virgen extra 1L</t>
        </is>
      </c>
      <c r="C4" s="4" t="inlineStr">
        <is>
          <t>Alimentación</t>
        </is>
      </c>
      <c r="D4" s="3" t="inlineStr">
        <is>
          <t>Botella</t>
        </is>
      </c>
      <c r="E4" s="5" t="n">
        <v>8.5</v>
      </c>
      <c r="F4" s="3" t="n">
        <v>200</v>
      </c>
      <c r="G4" s="3" t="n">
        <v>40</v>
      </c>
      <c r="H4" s="3" t="inlineStr">
        <is>
          <t>Olivares de Andalucía S.L.</t>
        </is>
      </c>
      <c r="I4" s="6" t="n">
        <v>0.1</v>
      </c>
      <c r="J4" s="4">
        <f>F4+SUMIFS(Movimientos!$K:$K,Movimientos!$E:$E,A4,Movimientos!$C:$C,"Entrada")-SUMIFS(Movimientos!$K:$K,Movimientos!$E:$E,A4,Movimientos!$C:$C,"Salida")</f>
        <v/>
      </c>
      <c r="K4" s="7">
        <f>J4*E4</f>
        <v/>
      </c>
      <c r="L4" s="4">
        <f>IF(J4&lt;=G4,"Reponer","Correcto")</f>
        <v/>
      </c>
    </row>
    <row r="5">
      <c r="A5" s="3" t="inlineStr">
        <is>
          <t>SKU-002</t>
        </is>
      </c>
      <c r="B5" s="8" t="inlineStr">
        <is>
          <t>Café molido natural 250g</t>
        </is>
      </c>
      <c r="C5" s="8" t="inlineStr">
        <is>
          <t>Alimentación</t>
        </is>
      </c>
      <c r="D5" s="3" t="inlineStr">
        <is>
          <t>Paquete</t>
        </is>
      </c>
      <c r="E5" s="5" t="n">
        <v>4.2</v>
      </c>
      <c r="F5" s="3" t="n">
        <v>150</v>
      </c>
      <c r="G5" s="3" t="n">
        <v>30</v>
      </c>
      <c r="H5" s="3" t="inlineStr">
        <is>
          <t>Cafés del Levante S.A.</t>
        </is>
      </c>
      <c r="I5" s="6" t="n">
        <v>0.1</v>
      </c>
      <c r="J5" s="8">
        <f>F5+SUMIFS(Movimientos!$K:$K,Movimientos!$E:$E,A5,Movimientos!$C:$C,"Entrada")-SUMIFS(Movimientos!$K:$K,Movimientos!$E:$E,A5,Movimientos!$C:$C,"Salida")</f>
        <v/>
      </c>
      <c r="K5" s="9">
        <f>J5*E5</f>
        <v/>
      </c>
      <c r="L5" s="8">
        <f>IF(J5&lt;=G5,"Reponer","Correcto")</f>
        <v/>
      </c>
    </row>
    <row r="6">
      <c r="A6" s="3" t="inlineStr">
        <is>
          <t>SKU-003</t>
        </is>
      </c>
      <c r="B6" s="4" t="inlineStr">
        <is>
          <t>Arroz redondo 1kg</t>
        </is>
      </c>
      <c r="C6" s="4" t="inlineStr">
        <is>
          <t>Alimentación</t>
        </is>
      </c>
      <c r="D6" s="3" t="inlineStr">
        <is>
          <t>Bolsa</t>
        </is>
      </c>
      <c r="E6" s="5" t="n">
        <v>1.8</v>
      </c>
      <c r="F6" s="3" t="n">
        <v>300</v>
      </c>
      <c r="G6" s="3" t="n">
        <v>60</v>
      </c>
      <c r="H6" s="3" t="inlineStr">
        <is>
          <t>Arrocería Valenciana S.L.</t>
        </is>
      </c>
      <c r="I6" s="6" t="n">
        <v>0.1</v>
      </c>
      <c r="J6" s="4">
        <f>F6+SUMIFS(Movimientos!$K:$K,Movimientos!$E:$E,A6,Movimientos!$C:$C,"Entrada")-SUMIFS(Movimientos!$K:$K,Movimientos!$E:$E,A6,Movimientos!$C:$C,"Salida")</f>
        <v/>
      </c>
      <c r="K6" s="7">
        <f>J6*E6</f>
        <v/>
      </c>
      <c r="L6" s="4">
        <f>IF(J6&lt;=G6,"Reponer","Correcto")</f>
        <v/>
      </c>
    </row>
    <row r="7">
      <c r="A7" s="3" t="inlineStr">
        <is>
          <t>SKU-004</t>
        </is>
      </c>
      <c r="B7" s="8" t="inlineStr">
        <is>
          <t>Conserva de atún en aceite (pack 3)</t>
        </is>
      </c>
      <c r="C7" s="8" t="inlineStr">
        <is>
          <t>Alimentación</t>
        </is>
      </c>
      <c r="D7" s="3" t="inlineStr">
        <is>
          <t>Pack</t>
        </is>
      </c>
      <c r="E7" s="5" t="n">
        <v>3.9</v>
      </c>
      <c r="F7" s="3" t="n">
        <v>180</v>
      </c>
      <c r="G7" s="3" t="n">
        <v>35</v>
      </c>
      <c r="H7" s="3" t="inlineStr">
        <is>
          <t>Conservas del Cantábrico S.A.</t>
        </is>
      </c>
      <c r="I7" s="6" t="n">
        <v>0.1</v>
      </c>
      <c r="J7" s="8">
        <f>F7+SUMIFS(Movimientos!$K:$K,Movimientos!$E:$E,A7,Movimientos!$C:$C,"Entrada")-SUMIFS(Movimientos!$K:$K,Movimientos!$E:$E,A7,Movimientos!$C:$C,"Salida")</f>
        <v/>
      </c>
      <c r="K7" s="9">
        <f>J7*E7</f>
        <v/>
      </c>
      <c r="L7" s="8">
        <f>IF(J7&lt;=G7,"Reponer","Correcto")</f>
        <v/>
      </c>
    </row>
    <row r="8">
      <c r="A8" s="3" t="inlineStr">
        <is>
          <t>SKU-005</t>
        </is>
      </c>
      <c r="B8" s="4" t="inlineStr">
        <is>
          <t>Detergente líquido 3L</t>
        </is>
      </c>
      <c r="C8" s="4" t="inlineStr">
        <is>
          <t>Limpieza</t>
        </is>
      </c>
      <c r="D8" s="3" t="inlineStr">
        <is>
          <t>Garrafa</t>
        </is>
      </c>
      <c r="E8" s="5" t="n">
        <v>9.75</v>
      </c>
      <c r="F8" s="3" t="n">
        <v>120</v>
      </c>
      <c r="G8" s="3" t="n">
        <v>25</v>
      </c>
      <c r="H8" s="3" t="inlineStr">
        <is>
          <t>Higiene Total S.L.</t>
        </is>
      </c>
      <c r="I8" s="6" t="n">
        <v>0.21</v>
      </c>
      <c r="J8" s="4">
        <f>F8+SUMIFS(Movimientos!$K:$K,Movimientos!$E:$E,A8,Movimientos!$C:$C,"Entrada")-SUMIFS(Movimientos!$K:$K,Movimientos!$E:$E,A8,Movimientos!$C:$C,"Salida")</f>
        <v/>
      </c>
      <c r="K8" s="7">
        <f>J8*E8</f>
        <v/>
      </c>
      <c r="L8" s="4">
        <f>IF(J8&lt;=G8,"Reponer","Correcto")</f>
        <v/>
      </c>
    </row>
    <row r="9">
      <c r="A9" s="3" t="inlineStr">
        <is>
          <t>SKU-006</t>
        </is>
      </c>
      <c r="B9" s="8" t="inlineStr">
        <is>
          <t>Papel higiénico (pack 12 rollos)</t>
        </is>
      </c>
      <c r="C9" s="8" t="inlineStr">
        <is>
          <t>Limpieza</t>
        </is>
      </c>
      <c r="D9" s="3" t="inlineStr">
        <is>
          <t>Pack</t>
        </is>
      </c>
      <c r="E9" s="5" t="n">
        <v>5.6</v>
      </c>
      <c r="F9" s="3" t="n">
        <v>160</v>
      </c>
      <c r="G9" s="3" t="n">
        <v>30</v>
      </c>
      <c r="H9" s="3" t="inlineStr">
        <is>
          <t>Celulosa Ibérica S.A.</t>
        </is>
      </c>
      <c r="I9" s="6" t="n">
        <v>0.21</v>
      </c>
      <c r="J9" s="8">
        <f>F9+SUMIFS(Movimientos!$K:$K,Movimientos!$E:$E,A9,Movimientos!$C:$C,"Entrada")-SUMIFS(Movimientos!$K:$K,Movimientos!$E:$E,A9,Movimientos!$C:$C,"Salida")</f>
        <v/>
      </c>
      <c r="K9" s="9">
        <f>J9*E9</f>
        <v/>
      </c>
      <c r="L9" s="8">
        <f>IF(J9&lt;=G9,"Reponer","Correcto")</f>
        <v/>
      </c>
    </row>
    <row r="10">
      <c r="A10" s="3" t="inlineStr">
        <is>
          <t>SKU-007</t>
        </is>
      </c>
      <c r="B10" s="4" t="inlineStr">
        <is>
          <t>Agua mineral 1,5L (pack 6)</t>
        </is>
      </c>
      <c r="C10" s="4" t="inlineStr">
        <is>
          <t>Bebidas</t>
        </is>
      </c>
      <c r="D10" s="3" t="inlineStr">
        <is>
          <t>Pack</t>
        </is>
      </c>
      <c r="E10" s="5" t="n">
        <v>1.2</v>
      </c>
      <c r="F10" s="3" t="n">
        <v>400</v>
      </c>
      <c r="G10" s="3" t="n">
        <v>80</v>
      </c>
      <c r="H10" s="3" t="inlineStr">
        <is>
          <t>Manantial Sierra Nevada S.L.</t>
        </is>
      </c>
      <c r="I10" s="6" t="n">
        <v>0.1</v>
      </c>
      <c r="J10" s="4">
        <f>F10+SUMIFS(Movimientos!$K:$K,Movimientos!$E:$E,A10,Movimientos!$C:$C,"Entrada")-SUMIFS(Movimientos!$K:$K,Movimientos!$E:$E,A10,Movimientos!$C:$C,"Salida")</f>
        <v/>
      </c>
      <c r="K10" s="7">
        <f>J10*E10</f>
        <v/>
      </c>
      <c r="L10" s="4">
        <f>IF(J10&lt;=G10,"Reponer","Correcto")</f>
        <v/>
      </c>
    </row>
    <row r="11">
      <c r="A11" s="3" t="inlineStr">
        <is>
          <t>SKU-008</t>
        </is>
      </c>
      <c r="B11" s="8" t="inlineStr">
        <is>
          <t>Leche entera 1L (pack 6)</t>
        </is>
      </c>
      <c r="C11" s="8" t="inlineStr">
        <is>
          <t>Bebidas</t>
        </is>
      </c>
      <c r="D11" s="3" t="inlineStr">
        <is>
          <t>Pack</t>
        </is>
      </c>
      <c r="E11" s="5" t="n">
        <v>4.8</v>
      </c>
      <c r="F11" s="3" t="n">
        <v>250</v>
      </c>
      <c r="G11" s="3" t="n">
        <v>50</v>
      </c>
      <c r="H11" s="3" t="inlineStr">
        <is>
          <t>Lácteos del Norte S.A.</t>
        </is>
      </c>
      <c r="I11" s="6" t="n">
        <v>0.1</v>
      </c>
      <c r="J11" s="8">
        <f>F11+SUMIFS(Movimientos!$K:$K,Movimientos!$E:$E,A11,Movimientos!$C:$C,"Entrada")-SUMIFS(Movimientos!$K:$K,Movimientos!$E:$E,A11,Movimientos!$C:$C,"Salida")</f>
        <v/>
      </c>
      <c r="K11" s="9">
        <f>J11*E11</f>
        <v/>
      </c>
      <c r="L11" s="8">
        <f>IF(J11&lt;=G11,"Reponer","Correcto")</f>
        <v/>
      </c>
    </row>
  </sheetData>
  <conditionalFormatting sqref="L4:L11">
    <cfRule type="expression" priority="1" dxfId="0" stopIfTrue="1">
      <formula>L4="Correcto"</formula>
    </cfRule>
    <cfRule type="expression" priority="2" dxfId="1" stopIfTrue="1">
      <formula>L4="Reponer"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6" customWidth="1" min="3" max="3"/>
    <col width="14" customWidth="1" min="4" max="4"/>
    <col width="10" customWidth="1" min="5" max="5"/>
    <col width="32" customWidth="1" min="6" max="6"/>
    <col width="14" customWidth="1" min="7" max="7"/>
    <col width="11" customWidth="1" min="8" max="8"/>
    <col width="11" customWidth="1" min="9" max="9"/>
    <col width="30" customWidth="1" min="10" max="10"/>
    <col width="10" customWidth="1" min="11" max="11"/>
    <col width="16" customWidth="1" min="12" max="12"/>
    <col width="13" customWidth="1" min="13" max="13"/>
    <col width="9" customWidth="1" min="14" max="14"/>
    <col width="11" customWidth="1" min="15" max="15"/>
    <col width="15" customWidth="1" min="16" max="16"/>
    <col width="14" customWidth="1" min="17" max="17"/>
    <col width="14" customWidth="1" min="18" max="18"/>
    <col width="22" customWidth="1" min="19" max="19"/>
    <col width="26" customWidth="1" min="20" max="20"/>
  </cols>
  <sheetData>
    <row r="1">
      <c r="A1" s="1" t="inlineStr">
        <is>
          <t>Registro de entradas y salidas de mercancía — 2026</t>
        </is>
      </c>
    </row>
    <row r="2"/>
    <row r="3">
      <c r="A3" s="2" t="inlineStr">
        <is>
          <t>ID movimiento</t>
        </is>
      </c>
      <c r="B3" s="2" t="inlineStr">
        <is>
          <t>Fecha</t>
        </is>
      </c>
      <c r="C3" s="2" t="inlineStr">
        <is>
          <t>Tipo de movimiento</t>
        </is>
      </c>
      <c r="D3" s="2" t="inlineStr">
        <is>
          <t>Nº documento</t>
        </is>
      </c>
      <c r="E3" s="2" t="inlineStr">
        <is>
          <t>SKU</t>
        </is>
      </c>
      <c r="F3" s="2" t="inlineStr">
        <is>
          <t>Producto</t>
        </is>
      </c>
      <c r="G3" s="2" t="inlineStr">
        <is>
          <t>Categoría</t>
        </is>
      </c>
      <c r="H3" s="2" t="inlineStr">
        <is>
          <t>Almacén</t>
        </is>
      </c>
      <c r="I3" s="2" t="inlineStr">
        <is>
          <t>Ciudad</t>
        </is>
      </c>
      <c r="J3" s="2" t="inlineStr">
        <is>
          <t>Proveedor / cliente</t>
        </is>
      </c>
      <c r="K3" s="2" t="inlineStr">
        <is>
          <t>Unidades</t>
        </is>
      </c>
      <c r="L3" s="2" t="inlineStr">
        <is>
          <t>Precio unitario (€)</t>
        </is>
      </c>
      <c r="M3" s="2" t="inlineStr">
        <is>
          <t>Importe (€)</t>
        </is>
      </c>
      <c r="N3" s="2" t="inlineStr">
        <is>
          <t>IVA (%)</t>
        </is>
      </c>
      <c r="O3" s="2" t="inlineStr">
        <is>
          <t>IVA (€)</t>
        </is>
      </c>
      <c r="P3" s="2" t="inlineStr">
        <is>
          <t>Importe total (€)</t>
        </is>
      </c>
      <c r="Q3" s="2" t="inlineStr">
        <is>
          <t>Stock anterior</t>
        </is>
      </c>
      <c r="R3" s="2" t="inlineStr">
        <is>
          <t>Stock posterior</t>
        </is>
      </c>
      <c r="S3" s="2" t="inlineStr">
        <is>
          <t>Estado de stock</t>
        </is>
      </c>
      <c r="T3" s="2" t="inlineStr">
        <is>
          <t>Observaciones</t>
        </is>
      </c>
    </row>
    <row r="4">
      <c r="A4" s="3" t="n">
        <v>1</v>
      </c>
      <c r="B4" s="22" t="n">
        <v>46030</v>
      </c>
      <c r="C4" s="3" t="inlineStr">
        <is>
          <t>Entrada</t>
        </is>
      </c>
      <c r="D4" s="3" t="inlineStr">
        <is>
          <t>ALB-2026-001</t>
        </is>
      </c>
      <c r="E4" s="3" t="inlineStr">
        <is>
          <t>SKU-001</t>
        </is>
      </c>
      <c r="F4" s="4">
        <f>IFERROR(VLOOKUP(E4,'Catálogo'!$A$4:$L$11,2,FALSE),"SKU no encontrado")</f>
        <v/>
      </c>
      <c r="G4" s="4">
        <f>IFERROR(VLOOKUP(E4,'Catálogo'!$A$4:$L$11,3,FALSE),"Sin categoría")</f>
        <v/>
      </c>
      <c r="H4" s="3" t="inlineStr">
        <is>
          <t>Madrid</t>
        </is>
      </c>
      <c r="I4" s="3" t="inlineStr">
        <is>
          <t>Madrid</t>
        </is>
      </c>
      <c r="J4" s="3" t="inlineStr">
        <is>
          <t>Olivares de Andalucía S.L.</t>
        </is>
      </c>
      <c r="K4" s="3" t="n">
        <v>180</v>
      </c>
      <c r="L4" s="7">
        <f>IFERROR(VLOOKUP(E4,'Catálogo'!$A$4:$L$11,5,FALSE),0)</f>
        <v/>
      </c>
      <c r="M4" s="7">
        <f>K4*L4</f>
        <v/>
      </c>
      <c r="N4" s="6" t="n">
        <v>0.1</v>
      </c>
      <c r="O4" s="7">
        <f>M4*N4</f>
        <v/>
      </c>
      <c r="P4" s="7">
        <f>M4+O4</f>
        <v/>
      </c>
      <c r="Q4" s="3" t="n">
        <v>200</v>
      </c>
      <c r="R4" s="4">
        <f>IF(C4="Entrada",Q4+K4,Q4-K4)</f>
        <v/>
      </c>
      <c r="S4" s="4">
        <f>IF(R4&lt;0,"ALERTA: stock negativo",IF(R4&lt;=IFERROR(VLOOKUP(E4,'Catálogo'!$A$4:$L$11,7,FALSE),0),"Reponer","Correcto"))</f>
        <v/>
      </c>
      <c r="T4" s="3" t="inlineStr">
        <is>
          <t>Pedido anual Lucía</t>
        </is>
      </c>
    </row>
    <row r="5">
      <c r="A5" s="3" t="n">
        <v>2</v>
      </c>
      <c r="B5" s="22" t="n">
        <v>46065</v>
      </c>
      <c r="C5" s="3" t="inlineStr">
        <is>
          <t>Salida</t>
        </is>
      </c>
      <c r="D5" s="3" t="inlineStr">
        <is>
          <t>ALB-2026-002</t>
        </is>
      </c>
      <c r="E5" s="3" t="inlineStr">
        <is>
          <t>SKU-002</t>
        </is>
      </c>
      <c r="F5" s="8">
        <f>IFERROR(VLOOKUP(E5,'Catálogo'!$A$4:$L$11,2,FALSE),"SKU no encontrado")</f>
        <v/>
      </c>
      <c r="G5" s="8">
        <f>IFERROR(VLOOKUP(E5,'Catálogo'!$A$4:$L$11,3,FALSE),"Sin categoría")</f>
        <v/>
      </c>
      <c r="H5" s="3" t="inlineStr">
        <is>
          <t>Barcelona</t>
        </is>
      </c>
      <c r="I5" s="3" t="inlineStr">
        <is>
          <t>Barcelona</t>
        </is>
      </c>
      <c r="J5" s="3" t="inlineStr">
        <is>
          <t>Cafetería Gracia S.L.</t>
        </is>
      </c>
      <c r="K5" s="3" t="n">
        <v>45</v>
      </c>
      <c r="L5" s="9">
        <f>IFERROR(VLOOKUP(E5,'Catálogo'!$A$4:$L$11,5,FALSE),0)</f>
        <v/>
      </c>
      <c r="M5" s="9">
        <f>K5*L5</f>
        <v/>
      </c>
      <c r="N5" s="6" t="n">
        <v>0.1</v>
      </c>
      <c r="O5" s="9">
        <f>M5*N5</f>
        <v/>
      </c>
      <c r="P5" s="9">
        <f>M5+O5</f>
        <v/>
      </c>
      <c r="Q5" s="3" t="n">
        <v>150</v>
      </c>
      <c r="R5" s="8">
        <f>IF(C5="Entrada",Q5+K5,Q5-K5)</f>
        <v/>
      </c>
      <c r="S5" s="8">
        <f>IF(R5&lt;0,"ALERTA: stock negativo",IF(R5&lt;=IFERROR(VLOOKUP(E5,'Catálogo'!$A$4:$L$11,7,FALSE),0),"Reponer","Correcto"))</f>
        <v/>
      </c>
      <c r="T5" s="3" t="inlineStr">
        <is>
          <t>Venta Martín</t>
        </is>
      </c>
    </row>
    <row r="6">
      <c r="A6" s="3" t="n">
        <v>3</v>
      </c>
      <c r="B6" s="22" t="n">
        <v>46086</v>
      </c>
      <c r="C6" s="3" t="inlineStr">
        <is>
          <t>Entrada</t>
        </is>
      </c>
      <c r="D6" s="3" t="inlineStr">
        <is>
          <t>ALB-2026-003</t>
        </is>
      </c>
      <c r="E6" s="3" t="inlineStr">
        <is>
          <t>SKU-003</t>
        </is>
      </c>
      <c r="F6" s="4">
        <f>IFERROR(VLOOKUP(E6,'Catálogo'!$A$4:$L$11,2,FALSE),"SKU no encontrado")</f>
        <v/>
      </c>
      <c r="G6" s="4">
        <f>IFERROR(VLOOKUP(E6,'Catálogo'!$A$4:$L$11,3,FALSE),"Sin categoría")</f>
        <v/>
      </c>
      <c r="H6" s="3" t="inlineStr">
        <is>
          <t>Valencia</t>
        </is>
      </c>
      <c r="I6" s="3" t="inlineStr">
        <is>
          <t>Valencia</t>
        </is>
      </c>
      <c r="J6" s="3" t="inlineStr">
        <is>
          <t>Arrocería Valenciana S.L.</t>
        </is>
      </c>
      <c r="K6" s="3" t="n">
        <v>120</v>
      </c>
      <c r="L6" s="7">
        <f>IFERROR(VLOOKUP(E6,'Catálogo'!$A$4:$L$11,5,FALSE),0)</f>
        <v/>
      </c>
      <c r="M6" s="7">
        <f>K6*L6</f>
        <v/>
      </c>
      <c r="N6" s="6" t="n">
        <v>0.1</v>
      </c>
      <c r="O6" s="7">
        <f>M6*N6</f>
        <v/>
      </c>
      <c r="P6" s="7">
        <f>M6+O6</f>
        <v/>
      </c>
      <c r="Q6" s="3" t="n">
        <v>300</v>
      </c>
      <c r="R6" s="4">
        <f>IF(C6="Entrada",Q6+K6,Q6-K6)</f>
        <v/>
      </c>
      <c r="S6" s="4">
        <f>IF(R6&lt;0,"ALERTA: stock negativo",IF(R6&lt;=IFERROR(VLOOKUP(E6,'Catálogo'!$A$4:$L$11,7,FALSE),0),"Reponer","Correcto"))</f>
        <v/>
      </c>
      <c r="T6" s="3" t="inlineStr">
        <is>
          <t>Reposición Sofía</t>
        </is>
      </c>
    </row>
    <row r="7">
      <c r="A7" s="3" t="n">
        <v>4</v>
      </c>
      <c r="B7" s="22" t="n">
        <v>46108</v>
      </c>
      <c r="C7" s="3" t="inlineStr">
        <is>
          <t>Salida</t>
        </is>
      </c>
      <c r="D7" s="3" t="inlineStr">
        <is>
          <t>ALB-2026-004</t>
        </is>
      </c>
      <c r="E7" s="3" t="inlineStr">
        <is>
          <t>SKU-004</t>
        </is>
      </c>
      <c r="F7" s="8">
        <f>IFERROR(VLOOKUP(E7,'Catálogo'!$A$4:$L$11,2,FALSE),"SKU no encontrado")</f>
        <v/>
      </c>
      <c r="G7" s="8">
        <f>IFERROR(VLOOKUP(E7,'Catálogo'!$A$4:$L$11,3,FALSE),"Sin categoría")</f>
        <v/>
      </c>
      <c r="H7" s="3" t="inlineStr">
        <is>
          <t>Sevilla</t>
        </is>
      </c>
      <c r="I7" s="3" t="inlineStr">
        <is>
          <t>Sevilla</t>
        </is>
      </c>
      <c r="J7" s="3" t="inlineStr">
        <is>
          <t>Restaurante El Guadalquivir</t>
        </is>
      </c>
      <c r="K7" s="3" t="n">
        <v>60</v>
      </c>
      <c r="L7" s="9">
        <f>IFERROR(VLOOKUP(E7,'Catálogo'!$A$4:$L$11,5,FALSE),0)</f>
        <v/>
      </c>
      <c r="M7" s="9">
        <f>K7*L7</f>
        <v/>
      </c>
      <c r="N7" s="6" t="n">
        <v>0.1</v>
      </c>
      <c r="O7" s="9">
        <f>M7*N7</f>
        <v/>
      </c>
      <c r="P7" s="9">
        <f>M7+O7</f>
        <v/>
      </c>
      <c r="Q7" s="3" t="n">
        <v>180</v>
      </c>
      <c r="R7" s="8">
        <f>IF(C7="Entrada",Q7+K7,Q7-K7)</f>
        <v/>
      </c>
      <c r="S7" s="8">
        <f>IF(R7&lt;0,"ALERTA: stock negativo",IF(R7&lt;=IFERROR(VLOOKUP(E7,'Catálogo'!$A$4:$L$11,7,FALSE),0),"Reponer","Correcto"))</f>
        <v/>
      </c>
      <c r="T7" s="3" t="inlineStr">
        <is>
          <t>Venta Hugo</t>
        </is>
      </c>
    </row>
    <row r="8">
      <c r="A8" s="3" t="n">
        <v>5</v>
      </c>
      <c r="B8" s="22" t="n">
        <v>46128</v>
      </c>
      <c r="C8" s="3" t="inlineStr">
        <is>
          <t>Entrada</t>
        </is>
      </c>
      <c r="D8" s="3" t="inlineStr">
        <is>
          <t>ALB-2026-005</t>
        </is>
      </c>
      <c r="E8" s="3" t="inlineStr">
        <is>
          <t>SKU-005</t>
        </is>
      </c>
      <c r="F8" s="4">
        <f>IFERROR(VLOOKUP(E8,'Catálogo'!$A$4:$L$11,2,FALSE),"SKU no encontrado")</f>
        <v/>
      </c>
      <c r="G8" s="4">
        <f>IFERROR(VLOOKUP(E8,'Catálogo'!$A$4:$L$11,3,FALSE),"Sin categoría")</f>
        <v/>
      </c>
      <c r="H8" s="3" t="inlineStr">
        <is>
          <t>Madrid</t>
        </is>
      </c>
      <c r="I8" s="3" t="inlineStr">
        <is>
          <t>Zaragoza</t>
        </is>
      </c>
      <c r="J8" s="3" t="inlineStr">
        <is>
          <t>Higiene Total S.L.</t>
        </is>
      </c>
      <c r="K8" s="3" t="n">
        <v>90</v>
      </c>
      <c r="L8" s="7">
        <f>IFERROR(VLOOKUP(E8,'Catálogo'!$A$4:$L$11,5,FALSE),0)</f>
        <v/>
      </c>
      <c r="M8" s="7">
        <f>K8*L8</f>
        <v/>
      </c>
      <c r="N8" s="6" t="n">
        <v>0.21</v>
      </c>
      <c r="O8" s="7">
        <f>M8*N8</f>
        <v/>
      </c>
      <c r="P8" s="7">
        <f>M8+O8</f>
        <v/>
      </c>
      <c r="Q8" s="3" t="n">
        <v>120</v>
      </c>
      <c r="R8" s="4">
        <f>IF(C8="Entrada",Q8+K8,Q8-K8)</f>
        <v/>
      </c>
      <c r="S8" s="4">
        <f>IF(R8&lt;0,"ALERTA: stock negativo",IF(R8&lt;=IFERROR(VLOOKUP(E8,'Catálogo'!$A$4:$L$11,7,FALSE),0),"Reponer","Correcto"))</f>
        <v/>
      </c>
      <c r="T8" s="3" t="inlineStr">
        <is>
          <t>Recepción Marta</t>
        </is>
      </c>
    </row>
    <row r="9">
      <c r="A9" s="3" t="n">
        <v>6</v>
      </c>
      <c r="B9" s="22" t="n">
        <v>46150</v>
      </c>
      <c r="C9" s="3" t="inlineStr">
        <is>
          <t>Salida</t>
        </is>
      </c>
      <c r="D9" s="3" t="inlineStr">
        <is>
          <t>ALB-2026-006</t>
        </is>
      </c>
      <c r="E9" s="3" t="inlineStr">
        <is>
          <t>SKU-006</t>
        </is>
      </c>
      <c r="F9" s="8">
        <f>IFERROR(VLOOKUP(E9,'Catálogo'!$A$4:$L$11,2,FALSE),"SKU no encontrado")</f>
        <v/>
      </c>
      <c r="G9" s="8">
        <f>IFERROR(VLOOKUP(E9,'Catálogo'!$A$4:$L$11,3,FALSE),"Sin categoría")</f>
        <v/>
      </c>
      <c r="H9" s="3" t="inlineStr">
        <is>
          <t>Barcelona</t>
        </is>
      </c>
      <c r="I9" s="3" t="inlineStr">
        <is>
          <t>Málaga</t>
        </is>
      </c>
      <c r="J9" s="3" t="inlineStr">
        <is>
          <t>Hotel Costa del Sol S.A.</t>
        </is>
      </c>
      <c r="K9" s="3" t="n">
        <v>75</v>
      </c>
      <c r="L9" s="9">
        <f>IFERROR(VLOOKUP(E9,'Catálogo'!$A$4:$L$11,5,FALSE),0)</f>
        <v/>
      </c>
      <c r="M9" s="9">
        <f>K9*L9</f>
        <v/>
      </c>
      <c r="N9" s="6" t="n">
        <v>0.21</v>
      </c>
      <c r="O9" s="9">
        <f>M9*N9</f>
        <v/>
      </c>
      <c r="P9" s="9">
        <f>M9+O9</f>
        <v/>
      </c>
      <c r="Q9" s="3" t="n">
        <v>160</v>
      </c>
      <c r="R9" s="8">
        <f>IF(C9="Entrada",Q9+K9,Q9-K9)</f>
        <v/>
      </c>
      <c r="S9" s="8">
        <f>IF(R9&lt;0,"ALERTA: stock negativo",IF(R9&lt;=IFERROR(VLOOKUP(E9,'Catálogo'!$A$4:$L$11,7,FALSE),0),"Reponer","Correcto"))</f>
        <v/>
      </c>
      <c r="T9" s="3" t="inlineStr">
        <is>
          <t>Venta Pablo</t>
        </is>
      </c>
    </row>
    <row r="10">
      <c r="A10" s="3" t="n">
        <v>7</v>
      </c>
      <c r="B10" s="22" t="n">
        <v>46171</v>
      </c>
      <c r="C10" s="3" t="inlineStr">
        <is>
          <t>Entrada</t>
        </is>
      </c>
      <c r="D10" s="3" t="inlineStr">
        <is>
          <t>ALB-2026-007</t>
        </is>
      </c>
      <c r="E10" s="3" t="inlineStr">
        <is>
          <t>SKU-007</t>
        </is>
      </c>
      <c r="F10" s="4">
        <f>IFERROR(VLOOKUP(E10,'Catálogo'!$A$4:$L$11,2,FALSE),"SKU no encontrado")</f>
        <v/>
      </c>
      <c r="G10" s="4">
        <f>IFERROR(VLOOKUP(E10,'Catálogo'!$A$4:$L$11,3,FALSE),"Sin categoría")</f>
        <v/>
      </c>
      <c r="H10" s="3" t="inlineStr">
        <is>
          <t>Valencia</t>
        </is>
      </c>
      <c r="I10" s="3" t="inlineStr">
        <is>
          <t>Bilbao</t>
        </is>
      </c>
      <c r="J10" s="3" t="inlineStr">
        <is>
          <t>Manantial Sierra Nevada S.L.</t>
        </is>
      </c>
      <c r="K10" s="3" t="n">
        <v>150</v>
      </c>
      <c r="L10" s="7">
        <f>IFERROR(VLOOKUP(E10,'Catálogo'!$A$4:$L$11,5,FALSE),0)</f>
        <v/>
      </c>
      <c r="M10" s="7">
        <f>K10*L10</f>
        <v/>
      </c>
      <c r="N10" s="6" t="n">
        <v>0.1</v>
      </c>
      <c r="O10" s="7">
        <f>M10*N10</f>
        <v/>
      </c>
      <c r="P10" s="7">
        <f>M10+O10</f>
        <v/>
      </c>
      <c r="Q10" s="3" t="n">
        <v>400</v>
      </c>
      <c r="R10" s="4">
        <f>IF(C10="Entrada",Q10+K10,Q10-K10)</f>
        <v/>
      </c>
      <c r="S10" s="4">
        <f>IF(R10&lt;0,"ALERTA: stock negativo",IF(R10&lt;=IFERROR(VLOOKUP(E10,'Catálogo'!$A$4:$L$11,7,FALSE),0),"Reponer","Correcto"))</f>
        <v/>
      </c>
      <c r="T10" s="3" t="inlineStr">
        <is>
          <t>Recepción Carmen</t>
        </is>
      </c>
    </row>
    <row r="11">
      <c r="A11" s="3" t="n">
        <v>8</v>
      </c>
      <c r="B11" s="22" t="n">
        <v>46192</v>
      </c>
      <c r="C11" s="3" t="inlineStr">
        <is>
          <t>Salida</t>
        </is>
      </c>
      <c r="D11" s="3" t="inlineStr">
        <is>
          <t>ALB-2026-008</t>
        </is>
      </c>
      <c r="E11" s="3" t="inlineStr">
        <is>
          <t>SKU-008</t>
        </is>
      </c>
      <c r="F11" s="8">
        <f>IFERROR(VLOOKUP(E11,'Catálogo'!$A$4:$L$11,2,FALSE),"SKU no encontrado")</f>
        <v/>
      </c>
      <c r="G11" s="8">
        <f>IFERROR(VLOOKUP(E11,'Catálogo'!$A$4:$L$11,3,FALSE),"Sin categoría")</f>
        <v/>
      </c>
      <c r="H11" s="3" t="inlineStr">
        <is>
          <t>Sevilla</t>
        </is>
      </c>
      <c r="I11" s="3" t="inlineStr">
        <is>
          <t>Murcia</t>
        </is>
      </c>
      <c r="J11" s="3" t="inlineStr">
        <is>
          <t>Supermercado Segura S.L.</t>
        </is>
      </c>
      <c r="K11" s="3" t="n">
        <v>100</v>
      </c>
      <c r="L11" s="9">
        <f>IFERROR(VLOOKUP(E11,'Catálogo'!$A$4:$L$11,5,FALSE),0)</f>
        <v/>
      </c>
      <c r="M11" s="9">
        <f>K11*L11</f>
        <v/>
      </c>
      <c r="N11" s="6" t="n">
        <v>0.1</v>
      </c>
      <c r="O11" s="9">
        <f>M11*N11</f>
        <v/>
      </c>
      <c r="P11" s="9">
        <f>M11+O11</f>
        <v/>
      </c>
      <c r="Q11" s="3" t="n">
        <v>250</v>
      </c>
      <c r="R11" s="8">
        <f>IF(C11="Entrada",Q11+K11,Q11-K11)</f>
        <v/>
      </c>
      <c r="S11" s="8">
        <f>IF(R11&lt;0,"ALERTA: stock negativo",IF(R11&lt;=IFERROR(VLOOKUP(E11,'Catálogo'!$A$4:$L$11,7,FALSE),0),"Reponer","Correcto"))</f>
        <v/>
      </c>
      <c r="T11" s="3" t="inlineStr">
        <is>
          <t>Venta Javier</t>
        </is>
      </c>
    </row>
    <row r="12">
      <c r="A12" s="3" t="n">
        <v>9</v>
      </c>
      <c r="B12" s="22" t="n">
        <v>46206</v>
      </c>
      <c r="C12" s="3" t="inlineStr">
        <is>
          <t>Entrada</t>
        </is>
      </c>
      <c r="D12" s="3" t="inlineStr">
        <is>
          <t>ALB-2026-009</t>
        </is>
      </c>
      <c r="E12" s="3" t="inlineStr">
        <is>
          <t>SKU-001</t>
        </is>
      </c>
      <c r="F12" s="4">
        <f>IFERROR(VLOOKUP(E12,'Catálogo'!$A$4:$L$11,2,FALSE),"SKU no encontrado")</f>
        <v/>
      </c>
      <c r="G12" s="4">
        <f>IFERROR(VLOOKUP(E12,'Catálogo'!$A$4:$L$11,3,FALSE),"Sin categoría")</f>
        <v/>
      </c>
      <c r="H12" s="3" t="inlineStr">
        <is>
          <t>Madrid</t>
        </is>
      </c>
      <c r="I12" s="3" t="inlineStr">
        <is>
          <t>Alicante</t>
        </is>
      </c>
      <c r="J12" s="3" t="inlineStr">
        <is>
          <t>Olivares de Andalucía S.L.</t>
        </is>
      </c>
      <c r="K12" s="3" t="n">
        <v>60</v>
      </c>
      <c r="L12" s="7">
        <f>IFERROR(VLOOKUP(E12,'Catálogo'!$A$4:$L$11,5,FALSE),0)</f>
        <v/>
      </c>
      <c r="M12" s="7">
        <f>K12*L12</f>
        <v/>
      </c>
      <c r="N12" s="6" t="n">
        <v>0.1</v>
      </c>
      <c r="O12" s="7">
        <f>M12*N12</f>
        <v/>
      </c>
      <c r="P12" s="7">
        <f>M12+O12</f>
        <v/>
      </c>
      <c r="Q12" s="3" t="n">
        <v>380</v>
      </c>
      <c r="R12" s="4">
        <f>IF(C12="Entrada",Q12+K12,Q12-K12)</f>
        <v/>
      </c>
      <c r="S12" s="4">
        <f>IF(R12&lt;0,"ALERTA: stock negativo",IF(R12&lt;=IFERROR(VLOOKUP(E12,'Catálogo'!$A$4:$L$11,7,FALSE),0),"Reponer","Correcto"))</f>
        <v/>
      </c>
      <c r="T12" s="3" t="inlineStr">
        <is>
          <t>Pedido Laura</t>
        </is>
      </c>
    </row>
    <row r="13">
      <c r="A13" s="3" t="n">
        <v>10</v>
      </c>
      <c r="B13" s="22" t="n">
        <v>46227</v>
      </c>
      <c r="C13" s="3" t="inlineStr">
        <is>
          <t>Salida</t>
        </is>
      </c>
      <c r="D13" s="3" t="inlineStr">
        <is>
          <t>ALB-2026-010</t>
        </is>
      </c>
      <c r="E13" s="3" t="inlineStr">
        <is>
          <t>SKU-007</t>
        </is>
      </c>
      <c r="F13" s="8">
        <f>IFERROR(VLOOKUP(E13,'Catálogo'!$A$4:$L$11,2,FALSE),"SKU no encontrado")</f>
        <v/>
      </c>
      <c r="G13" s="8">
        <f>IFERROR(VLOOKUP(E13,'Catálogo'!$A$4:$L$11,3,FALSE),"Sin categoría")</f>
        <v/>
      </c>
      <c r="H13" s="3" t="inlineStr">
        <is>
          <t>Barcelona</t>
        </is>
      </c>
      <c r="I13" s="3" t="inlineStr">
        <is>
          <t>Granada</t>
        </is>
      </c>
      <c r="J13" s="3" t="inlineStr">
        <is>
          <t>Bar Mirador Albaicín</t>
        </is>
      </c>
      <c r="K13" s="3" t="n">
        <v>48</v>
      </c>
      <c r="L13" s="9">
        <f>IFERROR(VLOOKUP(E13,'Catálogo'!$A$4:$L$11,5,FALSE),0)</f>
        <v/>
      </c>
      <c r="M13" s="9">
        <f>K13*L13</f>
        <v/>
      </c>
      <c r="N13" s="6" t="n">
        <v>0.1</v>
      </c>
      <c r="O13" s="9">
        <f>M13*N13</f>
        <v/>
      </c>
      <c r="P13" s="9">
        <f>M13+O13</f>
        <v/>
      </c>
      <c r="Q13" s="3" t="n">
        <v>550</v>
      </c>
      <c r="R13" s="8">
        <f>IF(C13="Entrada",Q13+K13,Q13-K13)</f>
        <v/>
      </c>
      <c r="S13" s="8">
        <f>IF(R13&lt;0,"ALERTA: stock negativo",IF(R13&lt;=IFERROR(VLOOKUP(E13,'Catálogo'!$A$4:$L$11,7,FALSE),0),"Reponer","Correcto"))</f>
        <v/>
      </c>
      <c r="T13" s="3" t="inlineStr">
        <is>
          <t>Venta Álvaro</t>
        </is>
      </c>
    </row>
  </sheetData>
  <autoFilter ref="A3:T13"/>
  <conditionalFormatting sqref="S4:S13">
    <cfRule type="expression" priority="1" dxfId="0" stopIfTrue="1">
      <formula>S4="Correcto"</formula>
    </cfRule>
    <cfRule type="expression" priority="2" dxfId="1" stopIfTrue="1">
      <formula>OR(S4="Reponer",S4="ALERTA: stock negativo")</formula>
    </cfRule>
  </conditionalFormatting>
  <dataValidations count="3">
    <dataValidation sqref="C4:C100" showErrorMessage="1" showInputMessage="1" allowBlank="0" type="list">
      <formula1>"Entrada,Salida"</formula1>
    </dataValidation>
    <dataValidation sqref="E4:E100" showErrorMessage="1" showInputMessage="1" allowBlank="0" type="list">
      <formula1>"SKU-001,SKU-002,SKU-003,SKU-004,SKU-005,SKU-006,SKU-007,SKU-008"</formula1>
    </dataValidation>
    <dataValidation sqref="H4:H100" showErrorMessage="1" showInputMessage="1" allowBlank="0" type="list">
      <formula1>"Madrid,Barcelona,Valencia,Sevilla"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6" customWidth="1" min="4" max="4"/>
    <col width="14" customWidth="1" min="5" max="5"/>
    <col width="13" customWidth="1" min="6" max="6"/>
    <col width="15" customWidth="1" min="7" max="7"/>
    <col width="15" customWidth="1" min="9" max="9"/>
    <col width="10" customWidth="1" min="10" max="10"/>
    <col width="10" customWidth="1" min="11" max="11"/>
  </cols>
  <sheetData>
    <row r="1">
      <c r="A1" s="1" t="inlineStr">
        <is>
          <t>Panel de dirección — Registro de mercancía</t>
        </is>
      </c>
    </row>
    <row r="2">
      <c r="A2" s="11" t="inlineStr">
        <is>
          <t>Periodo analizado: 01/01/2026 – 31/07/2026</t>
        </is>
      </c>
    </row>
    <row r="3">
      <c r="D3" s="12" t="inlineStr">
        <is>
          <t>Resumen por categoría</t>
        </is>
      </c>
      <c r="I3" s="12" t="inlineStr">
        <is>
          <t>Evolución semanal 2026</t>
        </is>
      </c>
    </row>
    <row r="4">
      <c r="A4" s="13" t="inlineStr">
        <is>
          <t>Total de entradas (uds)</t>
        </is>
      </c>
      <c r="B4" s="14">
        <f>SUMIF(Movimientos!$C:$C,"Entrada",Movimientos!$K:$K)</f>
        <v/>
      </c>
      <c r="D4" s="2" t="inlineStr">
        <is>
          <t>Categoría</t>
        </is>
      </c>
      <c r="E4" s="2" t="inlineStr">
        <is>
          <t>Entradas (uds)</t>
        </is>
      </c>
      <c r="F4" s="2" t="inlineStr">
        <is>
          <t>Salidas (uds)</t>
        </is>
      </c>
      <c r="G4" s="2" t="inlineStr">
        <is>
          <t>Valor stock (€)</t>
        </is>
      </c>
      <c r="I4" s="2" t="inlineStr">
        <is>
          <t>Semana (inicio)</t>
        </is>
      </c>
      <c r="J4" s="2" t="inlineStr">
        <is>
          <t>Entradas</t>
        </is>
      </c>
      <c r="K4" s="2" t="inlineStr">
        <is>
          <t>Salidas</t>
        </is>
      </c>
    </row>
    <row r="5">
      <c r="A5" s="15" t="inlineStr">
        <is>
          <t>Total de salidas (uds)</t>
        </is>
      </c>
      <c r="B5" s="14">
        <f>SUMIF(Movimientos!$C:$C,"Salida",Movimientos!$K:$K)</f>
        <v/>
      </c>
      <c r="D5" s="4" t="inlineStr">
        <is>
          <t>Alimentación</t>
        </is>
      </c>
      <c r="E5" s="4">
        <f>SUMIFS(Movimientos!$K:$K,Movimientos!$G:$G,D5,Movimientos!$C:$C,"Entrada")</f>
        <v/>
      </c>
      <c r="F5" s="4">
        <f>SUMIFS(Movimientos!$K:$K,Movimientos!$G:$G,D5,Movimientos!$C:$C,"Salida")</f>
        <v/>
      </c>
      <c r="G5" s="7">
        <f>SUMIF('Catálogo'!$C:$C,D5,'Catálogo'!$K:$K)</f>
        <v/>
      </c>
      <c r="I5" s="23" t="n">
        <v>46027</v>
      </c>
      <c r="J5" s="4">
        <f>COUNTIFS(Movimientos!$B:$B,"&gt;="&amp;I5,Movimientos!$B:$B,"&lt;"&amp;I5+30,Movimientos!$C:$C,"Entrada")</f>
        <v/>
      </c>
      <c r="K5" s="4">
        <f>COUNTIFS(Movimientos!$B:$B,"&gt;="&amp;I5,Movimientos!$B:$B,"&lt;"&amp;I5+30,Movimientos!$C:$C,"Salida")</f>
        <v/>
      </c>
    </row>
    <row r="6">
      <c r="A6" s="13" t="inlineStr">
        <is>
          <t>Valor total de entradas</t>
        </is>
      </c>
      <c r="B6" s="17">
        <f>SUMIF(Movimientos!$C:$C,"Entrada",Movimientos!$P:$P)</f>
        <v/>
      </c>
      <c r="D6" s="8" t="inlineStr">
        <is>
          <t>Limpieza</t>
        </is>
      </c>
      <c r="E6" s="8">
        <f>SUMIFS(Movimientos!$K:$K,Movimientos!$G:$G,D6,Movimientos!$C:$C,"Entrada")</f>
        <v/>
      </c>
      <c r="F6" s="8">
        <f>SUMIFS(Movimientos!$K:$K,Movimientos!$G:$G,D6,Movimientos!$C:$C,"Salida")</f>
        <v/>
      </c>
      <c r="G6" s="9">
        <f>SUMIF('Catálogo'!$C:$C,D6,'Catálogo'!$K:$K)</f>
        <v/>
      </c>
      <c r="I6" s="24" t="n">
        <v>46055</v>
      </c>
      <c r="J6" s="8">
        <f>COUNTIFS(Movimientos!$B:$B,"&gt;="&amp;I6,Movimientos!$B:$B,"&lt;"&amp;I6+30,Movimientos!$C:$C,"Entrada")</f>
        <v/>
      </c>
      <c r="K6" s="8">
        <f>COUNTIFS(Movimientos!$B:$B,"&gt;="&amp;I6,Movimientos!$B:$B,"&lt;"&amp;I6+30,Movimientos!$C:$C,"Salida")</f>
        <v/>
      </c>
    </row>
    <row r="7">
      <c r="A7" s="15" t="inlineStr">
        <is>
          <t>Valor total de salidas</t>
        </is>
      </c>
      <c r="B7" s="17">
        <f>SUMIF(Movimientos!$C:$C,"Salida",Movimientos!$P:$P)</f>
        <v/>
      </c>
      <c r="D7" s="4" t="inlineStr">
        <is>
          <t>Bebidas</t>
        </is>
      </c>
      <c r="E7" s="4">
        <f>SUMIFS(Movimientos!$K:$K,Movimientos!$G:$G,D7,Movimientos!$C:$C,"Entrada")</f>
        <v/>
      </c>
      <c r="F7" s="4">
        <f>SUMIFS(Movimientos!$K:$K,Movimientos!$G:$G,D7,Movimientos!$C:$C,"Salida")</f>
        <v/>
      </c>
      <c r="G7" s="7">
        <f>SUMIF('Catálogo'!$C:$C,D7,'Catálogo'!$K:$K)</f>
        <v/>
      </c>
      <c r="I7" s="23" t="n">
        <v>46083</v>
      </c>
      <c r="J7" s="4">
        <f>COUNTIFS(Movimientos!$B:$B,"&gt;="&amp;I7,Movimientos!$B:$B,"&lt;"&amp;I7+30,Movimientos!$C:$C,"Entrada")</f>
        <v/>
      </c>
      <c r="K7" s="4">
        <f>COUNTIFS(Movimientos!$B:$B,"&gt;="&amp;I7,Movimientos!$B:$B,"&lt;"&amp;I7+30,Movimientos!$C:$C,"Salida")</f>
        <v/>
      </c>
    </row>
    <row r="8">
      <c r="A8" s="13" t="inlineStr">
        <is>
          <t>Stock total actual</t>
        </is>
      </c>
      <c r="B8" s="14">
        <f>SUM('Catálogo'!$J$4:$J$11)</f>
        <v/>
      </c>
      <c r="I8" s="24" t="n">
        <v>46111</v>
      </c>
      <c r="J8" s="8">
        <f>COUNTIFS(Movimientos!$B:$B,"&gt;="&amp;I8,Movimientos!$B:$B,"&lt;"&amp;I8+30,Movimientos!$C:$C,"Entrada")</f>
        <v/>
      </c>
      <c r="K8" s="8">
        <f>COUNTIFS(Movimientos!$B:$B,"&gt;="&amp;I8,Movimientos!$B:$B,"&lt;"&amp;I8+30,Movimientos!$C:$C,"Salida")</f>
        <v/>
      </c>
    </row>
    <row r="9">
      <c r="A9" s="15" t="inlineStr">
        <is>
          <t>Valor del inventario</t>
        </is>
      </c>
      <c r="B9" s="17">
        <f>SUM('Catálogo'!$K$4:$K$11)</f>
        <v/>
      </c>
      <c r="I9" s="23" t="n">
        <v>46139</v>
      </c>
      <c r="J9" s="4">
        <f>COUNTIFS(Movimientos!$B:$B,"&gt;="&amp;I9,Movimientos!$B:$B,"&lt;"&amp;I9+30,Movimientos!$C:$C,"Entrada")</f>
        <v/>
      </c>
      <c r="K9" s="4">
        <f>COUNTIFS(Movimientos!$B:$B,"&gt;="&amp;I9,Movimientos!$B:$B,"&lt;"&amp;I9+30,Movimientos!$C:$C,"Salida")</f>
        <v/>
      </c>
    </row>
    <row r="10">
      <c r="A10" s="13" t="inlineStr">
        <is>
          <t>Productos a reponer</t>
        </is>
      </c>
      <c r="B10" s="14">
        <f>COUNTIF('Catálogo'!$L$4:$L$11,"Reponer")</f>
        <v/>
      </c>
      <c r="D10" s="12" t="inlineStr">
        <is>
          <t>Resumen por almacén</t>
        </is>
      </c>
      <c r="I10" s="24" t="n">
        <v>46167</v>
      </c>
      <c r="J10" s="8">
        <f>COUNTIFS(Movimientos!$B:$B,"&gt;="&amp;I10,Movimientos!$B:$B,"&lt;"&amp;I10+30,Movimientos!$C:$C,"Entrada")</f>
        <v/>
      </c>
      <c r="K10" s="8">
        <f>COUNTIFS(Movimientos!$B:$B,"&gt;="&amp;I10,Movimientos!$B:$B,"&lt;"&amp;I10+30,Movimientos!$C:$C,"Salida")</f>
        <v/>
      </c>
    </row>
    <row r="11">
      <c r="A11" s="15" t="inlineStr">
        <is>
          <t>Precio medio de movimiento</t>
        </is>
      </c>
      <c r="B11" s="17">
        <f>IFERROR(AVERAGE(Movimientos!$L$4:$L$13),0)</f>
        <v/>
      </c>
      <c r="D11" s="2" t="inlineStr">
        <is>
          <t>Almacén</t>
        </is>
      </c>
      <c r="E11" s="2" t="inlineStr">
        <is>
          <t>Movimientos</t>
        </is>
      </c>
      <c r="F11" s="2" t="inlineStr">
        <is>
          <t>Entradas (uds)</t>
        </is>
      </c>
      <c r="G11" s="2" t="inlineStr">
        <is>
          <t>Salidas (uds)</t>
        </is>
      </c>
      <c r="I11" s="23" t="n">
        <v>46195</v>
      </c>
      <c r="J11" s="4">
        <f>COUNTIFS(Movimientos!$B:$B,"&gt;="&amp;I11,Movimientos!$B:$B,"&lt;"&amp;I11+30,Movimientos!$C:$C,"Entrada")</f>
        <v/>
      </c>
      <c r="K11" s="4">
        <f>COUNTIFS(Movimientos!$B:$B,"&gt;="&amp;I11,Movimientos!$B:$B,"&lt;"&amp;I11+30,Movimientos!$C:$C,"Salida")</f>
        <v/>
      </c>
    </row>
    <row r="12">
      <c r="A12" s="13" t="inlineStr">
        <is>
          <t>% salidas sobre movimientos</t>
        </is>
      </c>
      <c r="B12" s="25">
        <f>IFERROR(COUNTIF(Movimientos!$C:$C,"Salida")/(COUNTA(Movimientos!$A:$A)-2),0)</f>
        <v/>
      </c>
      <c r="D12" s="4" t="inlineStr">
        <is>
          <t>Madrid</t>
        </is>
      </c>
      <c r="E12" s="4">
        <f>COUNTIF(Movimientos!$H:$H,D12)</f>
        <v/>
      </c>
      <c r="F12" s="4">
        <f>SUMIFS(Movimientos!$K:$K,Movimientos!$H:$H,D12,Movimientos!$C:$C,"Entrada")</f>
        <v/>
      </c>
      <c r="G12" s="4">
        <f>SUMIFS(Movimientos!$K:$K,Movimientos!$H:$H,D12,Movimientos!$C:$C,"Salida")</f>
        <v/>
      </c>
      <c r="I12" s="24" t="n">
        <v>46223</v>
      </c>
      <c r="J12" s="8">
        <f>COUNTIFS(Movimientos!$B:$B,"&gt;="&amp;I12,Movimientos!$B:$B,"&lt;"&amp;I12+30,Movimientos!$C:$C,"Entrada")</f>
        <v/>
      </c>
      <c r="K12" s="8">
        <f>COUNTIFS(Movimientos!$B:$B,"&gt;="&amp;I12,Movimientos!$B:$B,"&lt;"&amp;I12+30,Movimientos!$C:$C,"Salida")</f>
        <v/>
      </c>
    </row>
    <row r="13">
      <c r="D13" s="8" t="inlineStr">
        <is>
          <t>Barcelona</t>
        </is>
      </c>
      <c r="E13" s="8">
        <f>COUNTIF(Movimientos!$H:$H,D13)</f>
        <v/>
      </c>
      <c r="F13" s="8">
        <f>SUMIFS(Movimientos!$K:$K,Movimientos!$H:$H,D13,Movimientos!$C:$C,"Entrada")</f>
        <v/>
      </c>
      <c r="G13" s="8">
        <f>SUMIFS(Movimientos!$K:$K,Movimientos!$H:$H,D13,Movimientos!$C:$C,"Salida")</f>
        <v/>
      </c>
    </row>
    <row r="14">
      <c r="D14" s="4" t="inlineStr">
        <is>
          <t>Valencia</t>
        </is>
      </c>
      <c r="E14" s="4">
        <f>COUNTIF(Movimientos!$H:$H,D14)</f>
        <v/>
      </c>
      <c r="F14" s="4">
        <f>SUMIFS(Movimientos!$K:$K,Movimientos!$H:$H,D14,Movimientos!$C:$C,"Entrada")</f>
        <v/>
      </c>
      <c r="G14" s="4">
        <f>SUMIFS(Movimientos!$K:$K,Movimientos!$H:$H,D14,Movimientos!$C:$C,"Salida")</f>
        <v/>
      </c>
    </row>
    <row r="15">
      <c r="D15" s="8" t="inlineStr">
        <is>
          <t>Sevilla</t>
        </is>
      </c>
      <c r="E15" s="8">
        <f>COUNTIF(Movimientos!$H:$H,D15)</f>
        <v/>
      </c>
      <c r="F15" s="8">
        <f>SUMIFS(Movimientos!$K:$K,Movimientos!$H:$H,D15,Movimientos!$C:$C,"Entrada")</f>
        <v/>
      </c>
      <c r="G15" s="8">
        <f>SUMIFS(Movimientos!$K:$K,Movimientos!$H:$H,D15,Movimientos!$C:$C,"Salida")</f>
        <v/>
      </c>
    </row>
  </sheetData>
  <conditionalFormatting sqref="B4:B12">
    <cfRule type="expression" priority="1" dxfId="1" stopIfTrue="1">
      <formula>B10&gt;0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4" customWidth="1" min="1" max="1"/>
    <col width="110" customWidth="1" min="2" max="2"/>
  </cols>
  <sheetData>
    <row r="1">
      <c r="A1" s="1" t="inlineStr">
        <is>
          <t>Instrucciones de uso</t>
        </is>
      </c>
    </row>
    <row r="2"/>
    <row r="3" ht="60" customHeight="1">
      <c r="A3" s="20" t="inlineStr">
        <is>
          <t>Hoja «Movimientos»</t>
        </is>
      </c>
      <c r="B3" s="21" t="inlineStr">
        <is>
          <t>Registro principal de entradas y salidas. Introduzca fecha, tipo (Entrada/Salida), nº de documento, SKU, almacén, ciudad, proveedor/cliente, unidades, IVA y stock anterior en las celdas amarillas (#FFFBEB). Producto, categoría, precio, importes y estado se calculan automáticamente mediante fórmulas y el catálogo.</t>
        </is>
      </c>
    </row>
    <row r="4" ht="60" customHeight="1">
      <c r="A4" s="20" t="inlineStr">
        <is>
          <t>Hoja «Catálogo»</t>
        </is>
      </c>
      <c r="B4" s="21" t="inlineStr">
        <is>
          <t>Maestro de productos con precios, stock inicial, stock mínimo y proveedor habitual. El stock actual, el valor del stock y el estado (Correcto/Reponer) se actualizan solos según los movimientos registrados.</t>
        </is>
      </c>
    </row>
    <row r="5" ht="60" customHeight="1">
      <c r="A5" s="20" t="inlineStr">
        <is>
          <t>Hoja «Resumen»</t>
        </is>
      </c>
      <c r="B5" s="21" t="inlineStr">
        <is>
          <t>Panel de dirección con indicadores clave (entradas, salidas, valor de inventario, productos a reponer), tablas por categoría y almacén, y tres gráficos: columnas, circular y evolución semanal de 2026.</t>
        </is>
      </c>
    </row>
    <row r="6" ht="60" customHeight="1">
      <c r="A6" s="20" t="inlineStr">
        <is>
          <t>Formatos</t>
        </is>
      </c>
      <c r="B6" s="21" t="inlineStr">
        <is>
          <t>Importes en euros con formato 1.234,56 € y fechas en DD/MM/AAAA. Las filas alternas usan el color #F8FAFC. El formato condicional marca en verde el estado «Correcto» y en rojo «Reponer» y las alertas de stock negativo.</t>
        </is>
      </c>
    </row>
    <row r="7" ht="60" customHeight="1">
      <c r="A7" s="20" t="inlineStr">
        <is>
          <t>Validaciones</t>
        </is>
      </c>
      <c r="B7" s="21" t="inlineStr">
        <is>
          <t>En «Movimientos» hay listas desplegables para Tipo de movimiento, SKU y Almacén para evitar errores de escritura.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2026-07-30T12:48:14Z</dcterms:created>
  <dcterms:modified xmlns:dcterms="http://purl.org/dc/terms/" xmlns:xsi="http://www.w3.org/2001/XMLSchema-instance" xsi:type="dcterms:W3CDTF">2026-07-30T12:48:14Z</dcterms:modified>
</cp:coreProperties>
</file>